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421" activeTab="0"/>
  </bookViews>
  <sheets>
    <sheet name="Credits" sheetId="1" r:id="rId1"/>
    <sheet name="Summary" sheetId="2" r:id="rId2"/>
    <sheet name="Assumptions" sheetId="3" r:id="rId3"/>
    <sheet name="P&amp;L" sheetId="4" r:id="rId4"/>
    <sheet name="Cash Flow" sheetId="5" r:id="rId5"/>
    <sheet name="Bal Sheet" sheetId="6" r:id="rId6"/>
    <sheet name="Dept Budget" sheetId="7" r:id="rId7"/>
    <sheet name="Headcount" sheetId="8" r:id="rId8"/>
    <sheet name="Cap Exp" sheetId="9" r:id="rId9"/>
    <sheet name="Office Lease" sheetId="10" r:id="rId10"/>
    <sheet name="Misc Exp" sheetId="11" r:id="rId11"/>
  </sheets>
  <definedNames>
    <definedName name="Annual_Salary">'Headcount'!$E:$E</definedName>
    <definedName name="Boston_Common_Area">'Office Lease'!$G$11</definedName>
    <definedName name="BostonRate">'Office Lease'!$C$6</definedName>
    <definedName name="Bud_GA_HC">'Dept Budget'!$37:$37</definedName>
    <definedName name="Bud_HC">'Dept Budget'!$161:$161</definedName>
    <definedName name="Bud_KI_HC">'Dept Budget'!$99:$99</definedName>
    <definedName name="Bud_RD_HC">'Dept Budget'!$6:$6</definedName>
    <definedName name="Bud_SM_HC">'Dept Budget'!$68:$68</definedName>
    <definedName name="Bud_Unit_Cost">'Dept Budget'!$D:$D</definedName>
    <definedName name="Cap_Unit_Price">'Cap Exp'!$D:$D</definedName>
    <definedName name="CM_Pricing">'P&amp;L'!$31:$31</definedName>
    <definedName name="Cold_Fusion_Price">'P&amp;L'!$10:$10</definedName>
    <definedName name="Denver_Common_Area">'Office Lease'!#REF!</definedName>
    <definedName name="DenverRate">'Office Lease'!#REF!</definedName>
    <definedName name="EC_Pricing">'P&amp;L'!$32:$32</definedName>
    <definedName name="GA_Change">'Cap Exp'!$11:$11</definedName>
    <definedName name="KI_Change">'Cap Exp'!$13:$13</definedName>
    <definedName name="No_of_Persons">'Headcount'!$D:$D</definedName>
    <definedName name="ORACLE_Price">'P&amp;L'!$11:$11</definedName>
    <definedName name="_xlnm.Print_Area" localSheetId="1">'Summary'!$A$2:$F$4</definedName>
    <definedName name="Pur_Pricing">'P&amp;L'!$33:$33</definedName>
    <definedName name="RD_Change">'Cap Exp'!$7:$7</definedName>
    <definedName name="Rent1999">'Office Lease'!$I$13</definedName>
    <definedName name="Rent2000">'Office Lease'!$I$14</definedName>
    <definedName name="Rent2001">'Office Lease'!$I$15</definedName>
    <definedName name="Rent2002">'Office Lease'!$I$16</definedName>
    <definedName name="Rent2003">'Office Lease'!$I$17</definedName>
    <definedName name="SM_Change">'Cap Exp'!$9:$9</definedName>
    <definedName name="SQL_Server_Price">'P&amp;L'!$9:$9</definedName>
    <definedName name="Total_Alloc_Exp">'Cap Exp'!$113:$113</definedName>
    <definedName name="WK100_Pricing">'P&amp;L'!$25:$25</definedName>
    <definedName name="WK1005_Pricing">'P&amp;L'!$27:$27</definedName>
    <definedName name="WK1010_Pricing">'P&amp;L'!$28:$28</definedName>
    <definedName name="WK1050_Pricing">'P&amp;L'!$29:$29</definedName>
    <definedName name="WK200_Pricing">'P&amp;L'!$26:$26</definedName>
    <definedName name="WK2000_Pricing">'P&amp;L'!$30:$30</definedName>
  </definedNames>
  <calcPr fullCalcOnLoad="1"/>
</workbook>
</file>

<file path=xl/comments4.xml><?xml version="1.0" encoding="utf-8"?>
<comments xmlns="http://schemas.openxmlformats.org/spreadsheetml/2006/main">
  <authors>
    <author>Wayne Yamamoto</author>
  </authors>
  <commentList>
    <comment ref="D91" authorId="0">
      <text>
        <r>
          <rPr>
            <b/>
            <sz val="8"/>
            <rFont val="Tahoma"/>
            <family val="2"/>
          </rPr>
          <t>I would like us to consider not doing this - a distraction without significant revenue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<sst xmlns="http://schemas.openxmlformats.org/spreadsheetml/2006/main" count="614" uniqueCount="402">
  <si>
    <t>Units</t>
  </si>
  <si>
    <t>Pricing</t>
  </si>
  <si>
    <t>Revenue</t>
  </si>
  <si>
    <t>Software</t>
  </si>
  <si>
    <t>Upgrades</t>
  </si>
  <si>
    <t>Maintenance</t>
  </si>
  <si>
    <t>Services</t>
  </si>
  <si>
    <t>Custom App Development</t>
  </si>
  <si>
    <t>Support and Training</t>
  </si>
  <si>
    <t>Cold Fusion</t>
  </si>
  <si>
    <t>SQL Server</t>
  </si>
  <si>
    <t>Oracle 8</t>
  </si>
  <si>
    <t>Software Revenues</t>
  </si>
  <si>
    <t>Third Party Software</t>
  </si>
  <si>
    <t>eCommerce</t>
  </si>
  <si>
    <t>Purchasing</t>
  </si>
  <si>
    <t>From 2000 Sales w DG</t>
  </si>
  <si>
    <t>From 2000 Sales Direct</t>
  </si>
  <si>
    <t>From other Channel</t>
  </si>
  <si>
    <t>Consulting Services</t>
  </si>
  <si>
    <t>Total Revenue</t>
  </si>
  <si>
    <t>Cost of Software Licence</t>
  </si>
  <si>
    <t>DG payments</t>
  </si>
  <si>
    <t>Other Channel Payments</t>
  </si>
  <si>
    <t>Direct Sales Costs</t>
  </si>
  <si>
    <t>Cost and Expenses</t>
  </si>
  <si>
    <t>Cost of Services</t>
  </si>
  <si>
    <t>Research and Development</t>
  </si>
  <si>
    <t>Sales and Marketing</t>
  </si>
  <si>
    <t>General and Administrative</t>
  </si>
  <si>
    <t>Total Cost and Expenses</t>
  </si>
  <si>
    <t>Operating Income</t>
  </si>
  <si>
    <t>Department/Position</t>
  </si>
  <si>
    <t>CFO</t>
  </si>
  <si>
    <t>Controller</t>
  </si>
  <si>
    <t>IT Manager</t>
  </si>
  <si>
    <t>Network Engineer</t>
  </si>
  <si>
    <t>Application Support</t>
  </si>
  <si>
    <t>Communication Specialist</t>
  </si>
  <si>
    <t>Total General Salaries</t>
  </si>
  <si>
    <t>Bonuses</t>
  </si>
  <si>
    <t>Total General Compensation</t>
  </si>
  <si>
    <t>R&amp;D</t>
  </si>
  <si>
    <t>Software Engineer</t>
  </si>
  <si>
    <t>System Architect</t>
  </si>
  <si>
    <t>DB Developer</t>
  </si>
  <si>
    <t>DBA</t>
  </si>
  <si>
    <t>Common Development Services</t>
  </si>
  <si>
    <t>Network Specialist</t>
  </si>
  <si>
    <t>QA - Manager</t>
  </si>
  <si>
    <t>QA Tester</t>
  </si>
  <si>
    <t>Total Common Services</t>
  </si>
  <si>
    <t>Total R&amp;D Base Salary</t>
  </si>
  <si>
    <t>Total R&amp;D Compensation</t>
  </si>
  <si>
    <t>VP of Sales</t>
  </si>
  <si>
    <t>Regional Sales Manager</t>
  </si>
  <si>
    <t>Total Sales Salaries</t>
  </si>
  <si>
    <t>Total Consulting Salaries</t>
  </si>
  <si>
    <t>Total Consulting Compensation</t>
  </si>
  <si>
    <t>Marketing</t>
  </si>
  <si>
    <t>Marketing Comm Manager</t>
  </si>
  <si>
    <t>PR Manager</t>
  </si>
  <si>
    <t>Product Manager</t>
  </si>
  <si>
    <t>Editor/Web Master</t>
  </si>
  <si>
    <t>Marketing Writer</t>
  </si>
  <si>
    <t>Web designer</t>
  </si>
  <si>
    <t>Web developer</t>
  </si>
  <si>
    <t>Total Marketing Salaries</t>
  </si>
  <si>
    <t>Total Marketing Compensation</t>
  </si>
  <si>
    <t>Technical Support</t>
  </si>
  <si>
    <t>TS Manager</t>
  </si>
  <si>
    <t>Total TS Salaries</t>
  </si>
  <si>
    <t>Total TS Compensation</t>
  </si>
  <si>
    <t>Total Compensation</t>
  </si>
  <si>
    <t>Headcount by Department</t>
  </si>
  <si>
    <t>Sales</t>
  </si>
  <si>
    <t>Total Headcount</t>
  </si>
  <si>
    <t>Boston</t>
  </si>
  <si>
    <t>Office Admin</t>
  </si>
  <si>
    <t>CEO and President</t>
  </si>
  <si>
    <t>Annual Salary</t>
  </si>
  <si>
    <t>Start Date</t>
  </si>
  <si>
    <t>Total Engineering</t>
  </si>
  <si>
    <t>Tech 1999</t>
  </si>
  <si>
    <t>Tech 2000</t>
  </si>
  <si>
    <t>Tech 2001</t>
  </si>
  <si>
    <t>Tech 2002</t>
  </si>
  <si>
    <t>Tech 2003</t>
  </si>
  <si>
    <t>Web Engineer</t>
  </si>
  <si>
    <t>Headcount</t>
  </si>
  <si>
    <t>General Headcount</t>
  </si>
  <si>
    <t>R&amp;D Headcount</t>
  </si>
  <si>
    <t>Sales Headcount</t>
  </si>
  <si>
    <t>Marketing Headcount</t>
  </si>
  <si>
    <t>Tech Support Headcount</t>
  </si>
  <si>
    <t>Salaries by Department</t>
  </si>
  <si>
    <t>R&amp;D headcount</t>
  </si>
  <si>
    <t>Change in R&amp;D headcount</t>
  </si>
  <si>
    <t>Sales and Marketing headcount</t>
  </si>
  <si>
    <t>Change in S&amp;M headcount</t>
  </si>
  <si>
    <t>G&amp;A Headcount</t>
  </si>
  <si>
    <t>Change in G&amp;A Headcount</t>
  </si>
  <si>
    <t>Computer and Networking</t>
  </si>
  <si>
    <t>PCs</t>
  </si>
  <si>
    <t>Development software</t>
  </si>
  <si>
    <t>Development NT Server</t>
  </si>
  <si>
    <t>Development UNIX Server</t>
  </si>
  <si>
    <t>QA NT Server</t>
  </si>
  <si>
    <t>QA UNIX Server</t>
  </si>
  <si>
    <t>Printer</t>
  </si>
  <si>
    <t xml:space="preserve">Total Computer </t>
  </si>
  <si>
    <t>General Office</t>
  </si>
  <si>
    <t>Desks</t>
  </si>
  <si>
    <t>Chairs</t>
  </si>
  <si>
    <t>Total General Office</t>
  </si>
  <si>
    <t>Total R&amp;D Capital Expenditures</t>
  </si>
  <si>
    <t>Web Server</t>
  </si>
  <si>
    <t>Conference table and chairs</t>
  </si>
  <si>
    <t>Copiers</t>
  </si>
  <si>
    <t>Fax/copier/printer</t>
  </si>
  <si>
    <t>G&amp;A</t>
  </si>
  <si>
    <t>Corporate Expenditures</t>
  </si>
  <si>
    <t>Computer Equipment</t>
  </si>
  <si>
    <t>Corporate Servers</t>
  </si>
  <si>
    <t>Network Hardware</t>
  </si>
  <si>
    <t>Printers</t>
  </si>
  <si>
    <t>Total Computer Expenditures</t>
  </si>
  <si>
    <t>Telecommunications</t>
  </si>
  <si>
    <t>Phone Server</t>
  </si>
  <si>
    <t>Boards ($3,000 pre 24 users)</t>
  </si>
  <si>
    <t>T1 installation</t>
  </si>
  <si>
    <t>Total Telecommunications</t>
  </si>
  <si>
    <t>Lobby Desks</t>
  </si>
  <si>
    <t>Lobby Waiting Area Chairs</t>
  </si>
  <si>
    <t>Kitchen setup</t>
  </si>
  <si>
    <t>Total Capital Expenditures</t>
  </si>
  <si>
    <t>Unit Price</t>
  </si>
  <si>
    <t>Total G&amp;A Expenditures</t>
  </si>
  <si>
    <t>Total Corporate Expenditures</t>
  </si>
  <si>
    <t>Head Count</t>
  </si>
  <si>
    <t>Expenses</t>
  </si>
  <si>
    <t>Labor Expense</t>
  </si>
  <si>
    <t>Salaries / Wages</t>
  </si>
  <si>
    <t>Payroll Taxes</t>
  </si>
  <si>
    <t>Health Insurance</t>
  </si>
  <si>
    <t>Total Labor Expenses</t>
  </si>
  <si>
    <t>Capital Expenditures</t>
  </si>
  <si>
    <t>Travel and Entertainment</t>
  </si>
  <si>
    <t>Software and Technical Books</t>
  </si>
  <si>
    <t>Telecommunication Expense</t>
  </si>
  <si>
    <t>Office Administrative Expense</t>
  </si>
  <si>
    <t>Outside Admin. Services</t>
  </si>
  <si>
    <t>Other operating expenses</t>
  </si>
  <si>
    <t>Total non-Labor R&amp;D Expense</t>
  </si>
  <si>
    <t>Total R&amp;D Expenses</t>
  </si>
  <si>
    <t>Allocated Expenses</t>
  </si>
  <si>
    <t>Total R&amp;D</t>
  </si>
  <si>
    <t>Marketing Expense</t>
  </si>
  <si>
    <t>Legal Fees</t>
  </si>
  <si>
    <t>Accounting Service Fees</t>
  </si>
  <si>
    <t>Moving</t>
  </si>
  <si>
    <t xml:space="preserve">Recruiting </t>
  </si>
  <si>
    <t>Telecommunications and Networking</t>
  </si>
  <si>
    <t>Total non-Labor G&amp;A Expense</t>
  </si>
  <si>
    <t>Total G&amp;A Direct Expenses</t>
  </si>
  <si>
    <t>Total G&amp;A</t>
  </si>
  <si>
    <t>Total non_Labor S&amp;M Expenses</t>
  </si>
  <si>
    <t>Total S&amp;M Direct Expenses</t>
  </si>
  <si>
    <t>Total S&amp;M Expenses</t>
  </si>
  <si>
    <t>Unit Cost</t>
  </si>
  <si>
    <t>Total S&amp;M Expenditures</t>
  </si>
  <si>
    <t>Monthly Cost per Emp</t>
  </si>
  <si>
    <t xml:space="preserve">Long Distance charges     </t>
  </si>
  <si>
    <t xml:space="preserve">Shared Telecomm Exp    </t>
  </si>
  <si>
    <t xml:space="preserve">Office Supplies                               </t>
  </si>
  <si>
    <t xml:space="preserve">Printing and Copying supplies          </t>
  </si>
  <si>
    <t xml:space="preserve">Other Employee Benefits                </t>
  </si>
  <si>
    <t xml:space="preserve">Employee Morale                           </t>
  </si>
  <si>
    <t xml:space="preserve">Kitchen Supplies                            </t>
  </si>
  <si>
    <t xml:space="preserve">Benefit Plan fees                          </t>
  </si>
  <si>
    <t xml:space="preserve">401K                                            </t>
  </si>
  <si>
    <t>General Liability Insurance</t>
  </si>
  <si>
    <t>Telecommunication Expenses:</t>
  </si>
  <si>
    <t>Total communications costs</t>
  </si>
  <si>
    <t>Office Administrative Expenses:</t>
  </si>
  <si>
    <t>Total OAE</t>
  </si>
  <si>
    <t>Outside Services:</t>
  </si>
  <si>
    <t>Total Outside Services</t>
  </si>
  <si>
    <t>Other Operating Expense:</t>
  </si>
  <si>
    <t>Total Other</t>
  </si>
  <si>
    <t>Total Misc Employee Expenses</t>
  </si>
  <si>
    <t>Annual    Cost per Emp</t>
  </si>
  <si>
    <t>% of Total Headcount</t>
  </si>
  <si>
    <t>Total Labor Expense</t>
  </si>
  <si>
    <t>Total Non-Labor Expense</t>
  </si>
  <si>
    <t>Total Expenses</t>
  </si>
  <si>
    <t>Rate:</t>
  </si>
  <si>
    <t>Length</t>
  </si>
  <si>
    <t>Width</t>
  </si>
  <si>
    <t>Sq Ft</t>
  </si>
  <si>
    <t>Total Sq Ft Needs</t>
  </si>
  <si>
    <t>Conf Rm</t>
  </si>
  <si>
    <t>Storage</t>
  </si>
  <si>
    <t>Common</t>
  </si>
  <si>
    <t>Total Annual Lease Cost</t>
  </si>
  <si>
    <t>Total Monthly Lease Cost</t>
  </si>
  <si>
    <t>Recruiting</t>
  </si>
  <si>
    <t>Documenation Writer</t>
  </si>
  <si>
    <t>Assistant Controller</t>
  </si>
  <si>
    <t>Pro-forma Cash Flow Statement</t>
  </si>
  <si>
    <t>Cash Flow from Operating Activities</t>
  </si>
  <si>
    <t>Net Income (Loss)</t>
  </si>
  <si>
    <t>Adjustments to reconcile net income (loss)</t>
  </si>
  <si>
    <t xml:space="preserve">   to net cash provided from operating</t>
  </si>
  <si>
    <t xml:space="preserve">   activities:</t>
  </si>
  <si>
    <t xml:space="preserve">   - Depreciation and amortization</t>
  </si>
  <si>
    <t>Increase (Decrease) in Cash Caused by</t>
  </si>
  <si>
    <t xml:space="preserve">   Working Capital Items:</t>
  </si>
  <si>
    <t xml:space="preserve">   - Net change in Accounts Receivable</t>
  </si>
  <si>
    <t xml:space="preserve">   - Inventory</t>
  </si>
  <si>
    <t xml:space="preserve">   - Prepaid Expenses</t>
  </si>
  <si>
    <t xml:space="preserve">   - Net change in Accounts Payable</t>
  </si>
  <si>
    <t xml:space="preserve">   - Accrued Salaries</t>
  </si>
  <si>
    <t xml:space="preserve">   - Lease Payable (Capital)</t>
  </si>
  <si>
    <t xml:space="preserve">   - Income Taxes Payable</t>
  </si>
  <si>
    <t xml:space="preserve">   - Income Taxes (Losses Carried Forward)</t>
  </si>
  <si>
    <t>Net Cash Prov. (Used) by Oper. Activities</t>
  </si>
  <si>
    <t>Cash paid for acquisitions</t>
  </si>
  <si>
    <t>Cash acquired</t>
  </si>
  <si>
    <t>Property, Plant and Equipment-operations</t>
  </si>
  <si>
    <t>Intangible Assets</t>
  </si>
  <si>
    <t>Other Assets</t>
  </si>
  <si>
    <t>Net Cash Prov. (Used) by Inv.Act.</t>
  </si>
  <si>
    <t>Proceeds/(Payments) from Short-Term Debt</t>
  </si>
  <si>
    <t>Proceeds from Long-Term Debts</t>
  </si>
  <si>
    <t>Proceeds from Sale of Stock - Founders</t>
  </si>
  <si>
    <t>Net Cash Prov. (Used) by Fin. Act.</t>
  </si>
  <si>
    <t>Other Income (Expenses) Net</t>
  </si>
  <si>
    <t>Income Before Taxes</t>
  </si>
  <si>
    <t>Net Income</t>
  </si>
  <si>
    <t>Pro-forma Balance Sheet</t>
  </si>
  <si>
    <t xml:space="preserve">  Cash and Cash Equivalents</t>
  </si>
  <si>
    <t xml:space="preserve">  Accounts Receivabes</t>
  </si>
  <si>
    <t xml:space="preserve">  Inventory</t>
  </si>
  <si>
    <t xml:space="preserve">  Prepaid Expenses </t>
  </si>
  <si>
    <t xml:space="preserve">        Total Current Assets</t>
  </si>
  <si>
    <t>Property, Plant and Equipment, Net</t>
  </si>
  <si>
    <t>Deferred Income Taxes</t>
  </si>
  <si>
    <t>Intangible Assets, Net</t>
  </si>
  <si>
    <t xml:space="preserve"> Accounts Payable</t>
  </si>
  <si>
    <t xml:space="preserve"> Short-Term Debt </t>
  </si>
  <si>
    <t xml:space="preserve"> Accrued Salaries</t>
  </si>
  <si>
    <t xml:space="preserve">  Income Taxes Payable </t>
  </si>
  <si>
    <t xml:space="preserve">  Interest Payable</t>
  </si>
  <si>
    <t xml:space="preserve">  Current Portion of  Capital Leases</t>
  </si>
  <si>
    <t xml:space="preserve">         Total Current Liabilities</t>
  </si>
  <si>
    <t>Long-term Debt</t>
  </si>
  <si>
    <t>Obligations under capital leases</t>
  </si>
  <si>
    <t>Founders' Paid-in Equity</t>
  </si>
  <si>
    <t>Retained Earnings</t>
  </si>
  <si>
    <t>Total Net Worth</t>
  </si>
  <si>
    <t>Legal</t>
  </si>
  <si>
    <t>Software and technical Books</t>
  </si>
  <si>
    <t>Total non-Labor Expense</t>
  </si>
  <si>
    <t>Location:</t>
  </si>
  <si>
    <t>Customers</t>
  </si>
  <si>
    <t>Content Modules</t>
  </si>
  <si>
    <t>Network Manager</t>
  </si>
  <si>
    <t>Operation Manager</t>
  </si>
  <si>
    <t>New Licenses</t>
  </si>
  <si>
    <t>100 (DG)</t>
  </si>
  <si>
    <t>100 (other)</t>
  </si>
  <si>
    <t>100 (direct)</t>
  </si>
  <si>
    <t>200 (DG)</t>
  </si>
  <si>
    <t>200 (other)</t>
  </si>
  <si>
    <t>200 (direct)</t>
  </si>
  <si>
    <t>1005 (DG)</t>
  </si>
  <si>
    <t>1005 (other)</t>
  </si>
  <si>
    <t>1005 (direct)</t>
  </si>
  <si>
    <t>1010 (DG)</t>
  </si>
  <si>
    <t>1010 (other)</t>
  </si>
  <si>
    <t>1010 (direct)</t>
  </si>
  <si>
    <t>1050 (DG)</t>
  </si>
  <si>
    <t>1050 (other)</t>
  </si>
  <si>
    <t>1050 (direct)</t>
  </si>
  <si>
    <t>100</t>
  </si>
  <si>
    <t>200</t>
  </si>
  <si>
    <t>2000</t>
  </si>
  <si>
    <t>1005</t>
  </si>
  <si>
    <t>1010</t>
  </si>
  <si>
    <t>1050</t>
  </si>
  <si>
    <t>3rd Party Royality Payments</t>
  </si>
  <si>
    <t>DG Licenses</t>
  </si>
  <si>
    <t>Other Licenses</t>
  </si>
  <si>
    <t>Direct Licenses</t>
  </si>
  <si>
    <t>Commissions paid at 12% for direct and 6% through channel partners</t>
  </si>
  <si>
    <t>2000 (DG)</t>
  </si>
  <si>
    <t>2000 (other)</t>
  </si>
  <si>
    <t>2000 (direct)</t>
  </si>
  <si>
    <t>Content (DG)</t>
  </si>
  <si>
    <t>Content (other)</t>
  </si>
  <si>
    <t>Content (direct)</t>
  </si>
  <si>
    <t>eCommerce (DG)</t>
  </si>
  <si>
    <t>eCommerce (other)</t>
  </si>
  <si>
    <t>eCommerce (direct)</t>
  </si>
  <si>
    <t>Purchasing (DG)</t>
  </si>
  <si>
    <t>Purchasing (other)</t>
  </si>
  <si>
    <t>Purchasing (direct)</t>
  </si>
  <si>
    <t>Products</t>
  </si>
  <si>
    <t>Assumptions for Financial Projections</t>
  </si>
  <si>
    <t>Royalities and Commissions</t>
  </si>
  <si>
    <t>made in conjunction with a distribution partner</t>
  </si>
  <si>
    <t>WebKit and Module Licenses</t>
  </si>
  <si>
    <t>Software Revenue Hash Total</t>
  </si>
  <si>
    <t>Additional Module Units Sold</t>
  </si>
  <si>
    <t>New License Units Sold</t>
  </si>
  <si>
    <t>Custom Content Modules</t>
  </si>
  <si>
    <t>COO</t>
  </si>
  <si>
    <t>Training</t>
  </si>
  <si>
    <t>Documentation Writer</t>
  </si>
  <si>
    <t xml:space="preserve">Marketing </t>
  </si>
  <si>
    <t>Business</t>
  </si>
  <si>
    <t>Proceeds from Sale of Stock - Investors R1</t>
  </si>
  <si>
    <t>Proceeds from Sale of Stock - Investors R2</t>
  </si>
  <si>
    <t>Application Development Mgr</t>
  </si>
  <si>
    <t>KI Mgr</t>
  </si>
  <si>
    <t>System Configuration Mgmt</t>
  </si>
  <si>
    <t>Product Engineering</t>
  </si>
  <si>
    <t>Specialist</t>
  </si>
  <si>
    <t>Provisions for Taxes (41%)</t>
  </si>
  <si>
    <t xml:space="preserve">         Accumalate fixed assets</t>
  </si>
  <si>
    <t>Investors' Paid-in Equity - R1</t>
  </si>
  <si>
    <t>Investors' Paid-in Equity - R2</t>
  </si>
  <si>
    <t>Cash Flows from Investing Activities:</t>
  </si>
  <si>
    <t>Cash Flows from Financing Activites:</t>
  </si>
  <si>
    <t>Cash and Cash Equivalents, Beginning</t>
  </si>
  <si>
    <t>Cash and Cash Equivalents, Ending</t>
  </si>
  <si>
    <t>Net Inc (Dec) in Cash and Cash Equivalents</t>
  </si>
  <si>
    <t>Current Assets</t>
  </si>
  <si>
    <t>Total Assets</t>
  </si>
  <si>
    <t>Liabilities</t>
  </si>
  <si>
    <t>Current Liabilities</t>
  </si>
  <si>
    <t>Total Liabilities</t>
  </si>
  <si>
    <t>Total Liabilities and Equity</t>
  </si>
  <si>
    <t>Shareholders' Equity</t>
  </si>
  <si>
    <t>Sale and Marketing</t>
  </si>
  <si>
    <t>Total Sales Compensation</t>
  </si>
  <si>
    <t>Consulting Headcount</t>
  </si>
  <si>
    <t>Direct Service Cost</t>
  </si>
  <si>
    <t>Channel Manager</t>
  </si>
  <si>
    <t>Salesperson 1999</t>
  </si>
  <si>
    <t>Salesperson 2000</t>
  </si>
  <si>
    <t>Salesperson 2001</t>
  </si>
  <si>
    <t>Salesperson 2002</t>
  </si>
  <si>
    <t>Salesperson 2003</t>
  </si>
  <si>
    <t>Knowledge Implementation</t>
  </si>
  <si>
    <t>Knowledge Implementation Headcount</t>
  </si>
  <si>
    <t>Change in KI Headcount</t>
  </si>
  <si>
    <t>Total KI Expenses</t>
  </si>
  <si>
    <t>Total KI Expenditures</t>
  </si>
  <si>
    <t>Total KI Direct Expenses</t>
  </si>
  <si>
    <t>Total non_Labor KI Expenses</t>
  </si>
  <si>
    <t xml:space="preserve">   - Accumalated Tax Losses to Carry Forward</t>
  </si>
  <si>
    <t>(Jun - Dec)</t>
  </si>
  <si>
    <t>Management Consulting Services</t>
  </si>
  <si>
    <t>Knowledge Implementors 99</t>
  </si>
  <si>
    <t>Knowledge Implementors 00</t>
  </si>
  <si>
    <t>Knowledge Implementors 02</t>
  </si>
  <si>
    <t>Knowledge Implementors 03</t>
  </si>
  <si>
    <t>Director, Knowledge Svcs</t>
  </si>
  <si>
    <t>Knowledge Implementors 01</t>
  </si>
  <si>
    <t>No of FTEs</t>
  </si>
  <si>
    <t>VP Engineering</t>
  </si>
  <si>
    <t>Commissions will be paid to SoftCo's direct sales group at 12% for all software sales and at 6% for sales</t>
  </si>
  <si>
    <t>SoftCo</t>
  </si>
  <si>
    <t>Base SoftCo Pricing</t>
  </si>
  <si>
    <t>Total SoftCo</t>
  </si>
  <si>
    <t>SoftCo Headcount</t>
  </si>
  <si>
    <t xml:space="preserve">No representation is made regarding the accuracy of calculations in these spreadsheets. </t>
  </si>
  <si>
    <t>Add list of product here.</t>
  </si>
  <si>
    <t>Add pricing assumption here.</t>
  </si>
  <si>
    <t>Add revenue assumptions here.</t>
  </si>
  <si>
    <t>Channels, etc.</t>
  </si>
  <si>
    <t>Add assumption here.  For example:</t>
  </si>
  <si>
    <t>Systems Company</t>
  </si>
  <si>
    <t>\</t>
  </si>
  <si>
    <t>2007
(Jun - Dec)</t>
  </si>
  <si>
    <t>General Administrative</t>
  </si>
  <si>
    <t>Marc H. Meyer and Fred Crane</t>
  </si>
  <si>
    <t>Entrepreneurship:  An Innovator's Guide to Startups and Corporate Ventures</t>
  </si>
  <si>
    <t>Sage Publications, 2011</t>
  </si>
  <si>
    <t>PLEASE READ</t>
  </si>
  <si>
    <t>These spreadsheets are intended for class instruction and student project development only.</t>
  </si>
  <si>
    <t>Use these spreadsheets as a template for your own venture !</t>
  </si>
  <si>
    <t>Copyright©  Marc H. Meyer, Boston, MA</t>
  </si>
  <si>
    <t>A Staffing-based, Bottoms Up Financial Planning Template for a Technology Intensive Venture</t>
  </si>
  <si>
    <t xml:space="preserve">Accompanying </t>
  </si>
  <si>
    <t>This is an extremely detailed planning template.</t>
  </si>
  <si>
    <t>This spreadsheet was developed by Wayne Yamamoto for use by students to create successful companies.</t>
  </si>
  <si>
    <t>unless approved in writing by Marc H. Meyer.</t>
  </si>
  <si>
    <t>Use it carefully and wisely.</t>
  </si>
  <si>
    <t>Use of these materials for anything other than project development in courses using our book is prohibited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</si>
</sst>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Helv"/>
      <family val="0"/>
    </font>
    <font>
      <sz val="12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38" fontId="1" fillId="0" borderId="0" xfId="0" applyNumberFormat="1" applyFont="1" applyAlignment="1">
      <alignment/>
    </xf>
    <xf numFmtId="38" fontId="1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8" fontId="0" fillId="0" borderId="0" xfId="0" applyNumberFormat="1" applyAlignment="1">
      <alignment/>
    </xf>
    <xf numFmtId="38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NumberFormat="1" applyFont="1" applyAlignment="1">
      <alignment/>
    </xf>
    <xf numFmtId="38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8" fontId="1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2" xfId="0" applyNumberFormat="1" applyFont="1" applyBorder="1" applyAlignment="1">
      <alignment/>
    </xf>
    <xf numFmtId="6" fontId="1" fillId="0" borderId="13" xfId="0" applyNumberFormat="1" applyFont="1" applyBorder="1" applyAlignment="1">
      <alignment/>
    </xf>
    <xf numFmtId="0" fontId="2" fillId="0" borderId="0" xfId="0" applyNumberFormat="1" applyFont="1" applyAlignment="1">
      <alignment horizontal="center" wrapText="1"/>
    </xf>
    <xf numFmtId="6" fontId="1" fillId="0" borderId="10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0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37" fontId="2" fillId="0" borderId="0" xfId="0" applyNumberFormat="1" applyFont="1" applyFill="1" applyAlignment="1">
      <alignment/>
    </xf>
    <xf numFmtId="37" fontId="1" fillId="0" borderId="0" xfId="0" applyNumberFormat="1" applyFont="1" applyFill="1" applyAlignment="1">
      <alignment horizontal="left"/>
    </xf>
    <xf numFmtId="0" fontId="1" fillId="0" borderId="0" xfId="58" applyFont="1" applyFill="1">
      <alignment/>
      <protection/>
    </xf>
    <xf numFmtId="0" fontId="1" fillId="0" borderId="0" xfId="58" applyFont="1" applyFill="1" applyAlignment="1">
      <alignment horizontal="left"/>
      <protection/>
    </xf>
    <xf numFmtId="0" fontId="2" fillId="0" borderId="0" xfId="58" applyFont="1" applyFill="1">
      <alignment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58" applyFont="1" applyFill="1" applyAlignment="1" quotePrefix="1">
      <alignment horizontal="left"/>
      <protection/>
    </xf>
    <xf numFmtId="37" fontId="2" fillId="0" borderId="0" xfId="0" applyNumberFormat="1" applyFont="1" applyFill="1" applyAlignment="1">
      <alignment horizontal="left"/>
    </xf>
    <xf numFmtId="0" fontId="1" fillId="0" borderId="0" xfId="57" applyFont="1" applyFill="1">
      <alignment/>
      <protection/>
    </xf>
    <xf numFmtId="0" fontId="2" fillId="0" borderId="0" xfId="57" applyFont="1" applyFill="1" applyAlignment="1">
      <alignment horizontal="left"/>
      <protection/>
    </xf>
    <xf numFmtId="37" fontId="1" fillId="0" borderId="0" xfId="0" applyNumberFormat="1" applyFont="1" applyFill="1" applyAlignment="1">
      <alignment/>
    </xf>
    <xf numFmtId="0" fontId="2" fillId="0" borderId="0" xfId="57" applyFont="1" applyFill="1">
      <alignment/>
      <protection/>
    </xf>
    <xf numFmtId="0" fontId="1" fillId="0" borderId="0" xfId="57" applyFont="1" applyFill="1" applyAlignment="1" quotePrefix="1">
      <alignment horizontal="left"/>
      <protection/>
    </xf>
    <xf numFmtId="0" fontId="2" fillId="0" borderId="0" xfId="57" applyFont="1" applyFill="1" applyAlignment="1">
      <alignment horizontal="right"/>
      <protection/>
    </xf>
    <xf numFmtId="0" fontId="0" fillId="0" borderId="0" xfId="57" applyFont="1" applyFill="1">
      <alignment/>
      <protection/>
    </xf>
    <xf numFmtId="0" fontId="5" fillId="0" borderId="0" xfId="57" applyFont="1" applyFill="1">
      <alignment/>
      <protection/>
    </xf>
    <xf numFmtId="38" fontId="1" fillId="0" borderId="13" xfId="0" applyNumberFormat="1" applyFont="1" applyBorder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38" fontId="1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38" fontId="1" fillId="33" borderId="10" xfId="0" applyNumberFormat="1" applyFont="1" applyFill="1" applyBorder="1" applyAlignment="1">
      <alignment/>
    </xf>
    <xf numFmtId="38" fontId="1" fillId="33" borderId="11" xfId="0" applyNumberFormat="1" applyFont="1" applyFill="1" applyBorder="1" applyAlignment="1">
      <alignment/>
    </xf>
    <xf numFmtId="38" fontId="1" fillId="33" borderId="13" xfId="0" applyNumberFormat="1" applyFont="1" applyFill="1" applyBorder="1" applyAlignment="1">
      <alignment/>
    </xf>
    <xf numFmtId="38" fontId="1" fillId="0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38" fontId="1" fillId="0" borderId="0" xfId="0" applyNumberFormat="1" applyFont="1" applyAlignment="1">
      <alignment horizontal="right"/>
    </xf>
    <xf numFmtId="38" fontId="1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38" fontId="6" fillId="0" borderId="0" xfId="0" applyNumberFormat="1" applyFont="1" applyAlignment="1">
      <alignment/>
    </xf>
    <xf numFmtId="38" fontId="6" fillId="0" borderId="10" xfId="0" applyNumberFormat="1" applyFont="1" applyBorder="1" applyAlignment="1">
      <alignment/>
    </xf>
    <xf numFmtId="0" fontId="6" fillId="0" borderId="0" xfId="0" applyFont="1" applyFill="1" applyAlignment="1">
      <alignment/>
    </xf>
    <xf numFmtId="38" fontId="6" fillId="0" borderId="0" xfId="0" applyNumberFormat="1" applyFont="1" applyFill="1" applyAlignment="1">
      <alignment/>
    </xf>
    <xf numFmtId="38" fontId="6" fillId="0" borderId="10" xfId="0" applyNumberFormat="1" applyFont="1" applyFill="1" applyBorder="1" applyAlignment="1">
      <alignment/>
    </xf>
    <xf numFmtId="38" fontId="6" fillId="0" borderId="13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6" fillId="0" borderId="0" xfId="58" applyFont="1" applyFill="1" applyAlignment="1">
      <alignment horizontal="left"/>
      <protection/>
    </xf>
    <xf numFmtId="1" fontId="2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8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NSBAL" xfId="57"/>
    <cellStyle name="Normal_CONSCSH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3:F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5" width="9.140625" style="73" customWidth="1"/>
    <col min="6" max="6" width="9.140625" style="74" customWidth="1"/>
    <col min="7" max="16384" width="9.140625" style="73" customWidth="1"/>
  </cols>
  <sheetData>
    <row r="3" ht="15.75">
      <c r="F3" s="80" t="s">
        <v>395</v>
      </c>
    </row>
    <row r="4" ht="15">
      <c r="F4" s="75"/>
    </row>
    <row r="6" ht="15">
      <c r="F6" s="79" t="s">
        <v>398</v>
      </c>
    </row>
    <row r="7" ht="12.75">
      <c r="F7" s="73"/>
    </row>
    <row r="8" ht="12.75">
      <c r="F8" s="74" t="s">
        <v>396</v>
      </c>
    </row>
    <row r="10" ht="15.75">
      <c r="F10" s="76" t="s">
        <v>388</v>
      </c>
    </row>
    <row r="11" ht="15.75">
      <c r="F11" s="77" t="s">
        <v>389</v>
      </c>
    </row>
    <row r="12" ht="15.75">
      <c r="F12" s="76" t="s">
        <v>390</v>
      </c>
    </row>
    <row r="14" ht="12.75">
      <c r="F14" s="78" t="s">
        <v>391</v>
      </c>
    </row>
    <row r="15" ht="12.75">
      <c r="F15" s="74" t="s">
        <v>393</v>
      </c>
    </row>
    <row r="16" ht="12.75">
      <c r="F16" s="74" t="s">
        <v>392</v>
      </c>
    </row>
    <row r="17" ht="12.75">
      <c r="F17" s="74" t="s">
        <v>378</v>
      </c>
    </row>
    <row r="18" ht="12.75">
      <c r="F18" s="73"/>
    </row>
    <row r="19" ht="12.75">
      <c r="F19" s="74" t="s">
        <v>397</v>
      </c>
    </row>
    <row r="20" ht="12.75">
      <c r="F20" s="74" t="s">
        <v>400</v>
      </c>
    </row>
    <row r="21" ht="12.75">
      <c r="F21" s="73"/>
    </row>
    <row r="22" ht="12.75">
      <c r="F22" s="74" t="s">
        <v>401</v>
      </c>
    </row>
    <row r="23" ht="12.75">
      <c r="F23" s="74" t="s">
        <v>399</v>
      </c>
    </row>
    <row r="24" ht="12.75">
      <c r="F24" s="73"/>
    </row>
    <row r="25" ht="12.75">
      <c r="F25" s="73"/>
    </row>
    <row r="28" ht="12.75">
      <c r="F28" s="74" t="s">
        <v>394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&amp;CEnt3965 Class Project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3.28125" style="0" customWidth="1"/>
    <col min="2" max="2" width="9.57421875" style="0" customWidth="1"/>
    <col min="7" max="9" width="10.710937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1"/>
      <c r="B5" s="2" t="s">
        <v>264</v>
      </c>
      <c r="C5" s="27" t="s">
        <v>77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1"/>
      <c r="B6" s="2" t="s">
        <v>196</v>
      </c>
      <c r="C6" s="28">
        <v>34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38.25">
      <c r="A8" s="1"/>
      <c r="B8" s="1"/>
      <c r="C8" s="2" t="s">
        <v>89</v>
      </c>
      <c r="D8" s="6" t="s">
        <v>197</v>
      </c>
      <c r="E8" s="6" t="s">
        <v>198</v>
      </c>
      <c r="F8" s="6" t="s">
        <v>199</v>
      </c>
      <c r="G8" s="10" t="s">
        <v>200</v>
      </c>
      <c r="H8" s="10" t="s">
        <v>205</v>
      </c>
      <c r="I8" s="10" t="s">
        <v>204</v>
      </c>
      <c r="J8" s="1"/>
      <c r="K8" s="1"/>
      <c r="L8" s="1"/>
      <c r="M8" s="1"/>
    </row>
    <row r="9" spans="1:13" ht="12.75">
      <c r="A9" s="1"/>
      <c r="B9" s="29" t="s">
        <v>201</v>
      </c>
      <c r="D9" s="4">
        <v>14</v>
      </c>
      <c r="E9" s="4">
        <v>18</v>
      </c>
      <c r="F9" s="4">
        <f>D9*E9</f>
        <v>252</v>
      </c>
      <c r="G9" s="4">
        <f>F9</f>
        <v>252</v>
      </c>
      <c r="H9" s="4">
        <f>F9*BostonRate</f>
        <v>8568</v>
      </c>
      <c r="I9" s="4">
        <f>G9*BostonRate*12</f>
        <v>102816</v>
      </c>
      <c r="J9" s="1"/>
      <c r="K9" s="1"/>
      <c r="L9" s="1"/>
      <c r="M9" s="1"/>
    </row>
    <row r="10" spans="1:13" ht="12.75">
      <c r="A10" s="1"/>
      <c r="B10" s="29" t="s">
        <v>202</v>
      </c>
      <c r="D10" s="4">
        <v>20</v>
      </c>
      <c r="E10" s="4">
        <v>10</v>
      </c>
      <c r="F10" s="4">
        <f>D10*E10</f>
        <v>200</v>
      </c>
      <c r="G10" s="4">
        <f>G9+F10</f>
        <v>452</v>
      </c>
      <c r="H10" s="4">
        <f>F10*BostonRate</f>
        <v>6800</v>
      </c>
      <c r="I10" s="4">
        <f aca="true" t="shared" si="0" ref="I10:I17">G10*BostonRate*12</f>
        <v>184416</v>
      </c>
      <c r="J10" s="1"/>
      <c r="K10" s="1"/>
      <c r="L10" s="1"/>
      <c r="M10" s="1"/>
    </row>
    <row r="11" spans="1:13" ht="12.75">
      <c r="A11" s="1"/>
      <c r="B11" s="29" t="s">
        <v>203</v>
      </c>
      <c r="D11" s="4"/>
      <c r="E11" s="4"/>
      <c r="F11" s="4">
        <v>1000</v>
      </c>
      <c r="G11" s="4">
        <f>G9+G10+F11</f>
        <v>1704</v>
      </c>
      <c r="H11" s="4">
        <f>F11*BostonRate</f>
        <v>34000</v>
      </c>
      <c r="I11" s="4">
        <f t="shared" si="0"/>
        <v>695232</v>
      </c>
      <c r="J11" s="1"/>
      <c r="K11" s="1"/>
      <c r="L11" s="1"/>
      <c r="M11" s="1"/>
    </row>
    <row r="12" spans="1:13" ht="12.75">
      <c r="A12" s="1"/>
      <c r="B12" s="2"/>
      <c r="C12" s="1"/>
      <c r="D12" s="4"/>
      <c r="E12" s="4"/>
      <c r="F12" s="4"/>
      <c r="G12" s="4"/>
      <c r="H12" s="4"/>
      <c r="I12" s="4"/>
      <c r="J12" s="1"/>
      <c r="K12" s="1"/>
      <c r="L12" s="1"/>
      <c r="M12" s="1"/>
    </row>
    <row r="13" spans="1:13" ht="12.75">
      <c r="A13" s="1"/>
      <c r="B13" s="2">
        <v>1999</v>
      </c>
      <c r="C13" s="4">
        <f>Headcount!G147</f>
        <v>31</v>
      </c>
      <c r="D13" s="4">
        <v>18</v>
      </c>
      <c r="E13" s="4">
        <v>15</v>
      </c>
      <c r="F13" s="4">
        <f>D13*E13*C13</f>
        <v>8370</v>
      </c>
      <c r="G13" s="4">
        <v>11265</v>
      </c>
      <c r="H13" s="4">
        <f>F13*BostonRate</f>
        <v>284580</v>
      </c>
      <c r="I13" s="4">
        <f>G13*BostonRate*6</f>
        <v>2298060</v>
      </c>
      <c r="J13" s="1"/>
      <c r="K13" s="1"/>
      <c r="L13" s="1"/>
      <c r="M13" s="1"/>
    </row>
    <row r="14" spans="1:13" ht="12.75">
      <c r="A14" s="1"/>
      <c r="B14" s="2">
        <v>2000</v>
      </c>
      <c r="C14" s="4">
        <f>Headcount!H147</f>
        <v>52</v>
      </c>
      <c r="D14" s="4">
        <v>15</v>
      </c>
      <c r="E14" s="4">
        <v>15</v>
      </c>
      <c r="F14" s="4">
        <f>D14*E14*C14</f>
        <v>11700</v>
      </c>
      <c r="G14" s="4">
        <v>11265</v>
      </c>
      <c r="H14" s="4">
        <f>F14*BostonRate</f>
        <v>397800</v>
      </c>
      <c r="I14" s="4">
        <f t="shared" si="0"/>
        <v>4596120</v>
      </c>
      <c r="J14" s="1"/>
      <c r="K14" s="1"/>
      <c r="L14" s="1"/>
      <c r="M14" s="1"/>
    </row>
    <row r="15" spans="1:13" ht="12.75">
      <c r="A15" s="1"/>
      <c r="B15" s="2">
        <v>2001</v>
      </c>
      <c r="C15" s="4">
        <f>Headcount!I147</f>
        <v>69</v>
      </c>
      <c r="D15" s="4">
        <v>15</v>
      </c>
      <c r="E15" s="4">
        <v>15</v>
      </c>
      <c r="F15" s="4">
        <f>D15*E15*C15</f>
        <v>15525</v>
      </c>
      <c r="G15" s="4">
        <v>11265</v>
      </c>
      <c r="H15" s="4">
        <f>F15*BostonRate</f>
        <v>527850</v>
      </c>
      <c r="I15" s="4">
        <f t="shared" si="0"/>
        <v>4596120</v>
      </c>
      <c r="J15" s="1"/>
      <c r="K15" s="1"/>
      <c r="L15" s="1"/>
      <c r="M15" s="1"/>
    </row>
    <row r="16" spans="1:13" ht="12.75">
      <c r="A16" s="1"/>
      <c r="B16" s="2">
        <v>2002</v>
      </c>
      <c r="C16" s="4">
        <f>Headcount!J147</f>
        <v>85</v>
      </c>
      <c r="D16" s="4">
        <v>15</v>
      </c>
      <c r="E16" s="4">
        <v>15</v>
      </c>
      <c r="F16" s="4">
        <f>D16*E16*C16</f>
        <v>19125</v>
      </c>
      <c r="G16" s="4">
        <f>F16+Boston_Common_Area</f>
        <v>20829</v>
      </c>
      <c r="H16" s="4">
        <f>F16*BostonRate</f>
        <v>650250</v>
      </c>
      <c r="I16" s="4">
        <f t="shared" si="0"/>
        <v>8498232</v>
      </c>
      <c r="J16" s="1"/>
      <c r="K16" s="1"/>
      <c r="L16" s="1"/>
      <c r="M16" s="1"/>
    </row>
    <row r="17" spans="1:13" ht="12.75">
      <c r="A17" s="1"/>
      <c r="B17" s="2">
        <v>2003</v>
      </c>
      <c r="C17" s="4">
        <f>Headcount!K147</f>
        <v>100</v>
      </c>
      <c r="D17" s="4">
        <v>15</v>
      </c>
      <c r="E17" s="4">
        <v>15</v>
      </c>
      <c r="F17" s="4">
        <f>D17*E17*C17</f>
        <v>22500</v>
      </c>
      <c r="G17" s="4">
        <f>F17+Boston_Common_Area</f>
        <v>24204</v>
      </c>
      <c r="H17" s="4">
        <f>F17*BostonRate</f>
        <v>765000</v>
      </c>
      <c r="I17" s="4">
        <f t="shared" si="0"/>
        <v>9875232</v>
      </c>
      <c r="J17" s="1"/>
      <c r="K17" s="1"/>
      <c r="L17" s="1"/>
      <c r="M17" s="1"/>
    </row>
    <row r="18" spans="1:13" ht="12.75">
      <c r="A18" s="1"/>
      <c r="B18" s="1"/>
      <c r="C18" s="1"/>
      <c r="D18" s="4"/>
      <c r="E18" s="4"/>
      <c r="F18" s="4"/>
      <c r="G18" s="4"/>
      <c r="H18" s="4"/>
      <c r="I18" s="4"/>
      <c r="J18" s="1"/>
      <c r="K18" s="1"/>
      <c r="L18" s="1"/>
      <c r="M18" s="1"/>
    </row>
    <row r="19" spans="1:13" ht="12.75">
      <c r="A19" s="1"/>
      <c r="B19" s="1"/>
      <c r="C19" s="1"/>
      <c r="D19" s="4"/>
      <c r="E19" s="4"/>
      <c r="F19" s="4"/>
      <c r="G19" s="4"/>
      <c r="H19" s="4"/>
      <c r="I19" s="4"/>
      <c r="J19" s="1"/>
      <c r="K19" s="1"/>
      <c r="L19" s="1"/>
      <c r="M19" s="1"/>
    </row>
    <row r="20" spans="1:13" ht="12.75">
      <c r="A20" s="1"/>
      <c r="B20" s="1"/>
      <c r="C20" s="1"/>
      <c r="D20" s="4"/>
      <c r="E20" s="4"/>
      <c r="F20" s="4"/>
      <c r="G20" s="4"/>
      <c r="H20" s="4"/>
      <c r="I20" s="4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&amp;C&amp;"Arial,Bold"&amp;14Rental Expense</oddHeader>
    <oddFooter>&amp;LCompany Confidential&amp;CPage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D902"/>
  <sheetViews>
    <sheetView zoomScalePageLayoutView="0" workbookViewId="0" topLeftCell="A2">
      <selection activeCell="G11" sqref="G11"/>
    </sheetView>
  </sheetViews>
  <sheetFormatPr defaultColWidth="9.140625" defaultRowHeight="12.75"/>
  <cols>
    <col min="1" max="1" width="2.7109375" style="0" customWidth="1"/>
    <col min="2" max="2" width="31.140625" style="0" customWidth="1"/>
    <col min="3" max="3" width="10.7109375" style="0" customWidth="1"/>
    <col min="4" max="4" width="10.7109375" style="1" customWidth="1"/>
  </cols>
  <sheetData>
    <row r="2" spans="1:3" ht="12.75">
      <c r="A2" s="1"/>
      <c r="B2" s="1"/>
      <c r="C2" s="1"/>
    </row>
    <row r="3" spans="1:3" ht="12.75">
      <c r="A3" s="1"/>
      <c r="B3" s="1"/>
      <c r="C3" s="6"/>
    </row>
    <row r="4" spans="1:4" ht="38.25">
      <c r="A4" s="1"/>
      <c r="B4" s="1"/>
      <c r="C4" s="10" t="s">
        <v>171</v>
      </c>
      <c r="D4" s="24" t="s">
        <v>191</v>
      </c>
    </row>
    <row r="5" spans="1:3" ht="12.75">
      <c r="A5" s="2" t="s">
        <v>76</v>
      </c>
      <c r="B5" s="1"/>
      <c r="C5" s="3"/>
    </row>
    <row r="6" spans="1:3" ht="12.75">
      <c r="A6" s="1"/>
      <c r="B6" s="1"/>
      <c r="C6" s="6"/>
    </row>
    <row r="7" spans="1:3" ht="12.75">
      <c r="A7" s="2" t="s">
        <v>182</v>
      </c>
      <c r="B7" s="1"/>
      <c r="C7" s="1"/>
    </row>
    <row r="8" spans="1:4" ht="12.75">
      <c r="A8" s="1"/>
      <c r="B8" s="1" t="s">
        <v>172</v>
      </c>
      <c r="C8" s="21">
        <v>45</v>
      </c>
      <c r="D8" s="21">
        <f>C8*12</f>
        <v>540</v>
      </c>
    </row>
    <row r="9" spans="1:4" ht="12.75">
      <c r="A9" s="1"/>
      <c r="B9" s="1" t="s">
        <v>173</v>
      </c>
      <c r="C9" s="21">
        <v>69</v>
      </c>
      <c r="D9" s="25">
        <f>C9*12</f>
        <v>828</v>
      </c>
    </row>
    <row r="10" spans="1:4" ht="12.75">
      <c r="A10" s="1" t="s">
        <v>183</v>
      </c>
      <c r="B10" s="1"/>
      <c r="C10" s="22">
        <f>C8+C9</f>
        <v>114</v>
      </c>
      <c r="D10" s="21">
        <f>C10*12</f>
        <v>1368</v>
      </c>
    </row>
    <row r="11" spans="1:3" ht="12.75">
      <c r="A11" s="1"/>
      <c r="B11" s="1"/>
      <c r="C11" s="1"/>
    </row>
    <row r="12" spans="1:3" ht="12.75">
      <c r="A12" s="2" t="s">
        <v>184</v>
      </c>
      <c r="B12" s="1"/>
      <c r="C12" s="1"/>
    </row>
    <row r="13" spans="1:4" ht="12.75">
      <c r="A13" s="1"/>
      <c r="B13" s="1" t="s">
        <v>174</v>
      </c>
      <c r="C13" s="21">
        <v>9</v>
      </c>
      <c r="D13" s="21">
        <f aca="true" t="shared" si="0" ref="D13:D18">C13*12</f>
        <v>108</v>
      </c>
    </row>
    <row r="14" spans="1:4" ht="12.75">
      <c r="A14" s="1"/>
      <c r="B14" s="1" t="s">
        <v>175</v>
      </c>
      <c r="C14" s="21">
        <v>6</v>
      </c>
      <c r="D14" s="21">
        <f t="shared" si="0"/>
        <v>72</v>
      </c>
    </row>
    <row r="15" spans="1:4" ht="12.75">
      <c r="A15" s="1"/>
      <c r="B15" s="1" t="s">
        <v>176</v>
      </c>
      <c r="C15" s="21">
        <v>5</v>
      </c>
      <c r="D15" s="21">
        <f t="shared" si="0"/>
        <v>60</v>
      </c>
    </row>
    <row r="16" spans="1:4" ht="12.75">
      <c r="A16" s="1"/>
      <c r="B16" s="1" t="s">
        <v>177</v>
      </c>
      <c r="C16" s="21">
        <v>29</v>
      </c>
      <c r="D16" s="21">
        <f t="shared" si="0"/>
        <v>348</v>
      </c>
    </row>
    <row r="17" spans="1:4" ht="12.75">
      <c r="A17" s="1"/>
      <c r="B17" s="1" t="s">
        <v>178</v>
      </c>
      <c r="C17" s="21">
        <v>24</v>
      </c>
      <c r="D17" s="25">
        <f t="shared" si="0"/>
        <v>288</v>
      </c>
    </row>
    <row r="18" spans="1:4" ht="12.75">
      <c r="A18" s="1" t="s">
        <v>185</v>
      </c>
      <c r="B18" s="1"/>
      <c r="C18" s="22">
        <f>SUM(C13:C17)</f>
        <v>73</v>
      </c>
      <c r="D18" s="21">
        <f t="shared" si="0"/>
        <v>876</v>
      </c>
    </row>
    <row r="19" spans="1:3" ht="12.75">
      <c r="A19" s="1"/>
      <c r="B19" s="1"/>
      <c r="C19" s="1"/>
    </row>
    <row r="20" spans="1:3" ht="12.75">
      <c r="A20" s="2" t="s">
        <v>186</v>
      </c>
      <c r="B20" s="1"/>
      <c r="C20" s="1"/>
    </row>
    <row r="21" spans="1:4" ht="12.75">
      <c r="A21" s="1"/>
      <c r="B21" s="1" t="s">
        <v>179</v>
      </c>
      <c r="C21" s="21">
        <v>222</v>
      </c>
      <c r="D21" s="21">
        <f>C21*12</f>
        <v>2664</v>
      </c>
    </row>
    <row r="22" spans="1:4" ht="12.75">
      <c r="A22" s="1"/>
      <c r="B22" s="1" t="s">
        <v>180</v>
      </c>
      <c r="C22" s="21">
        <v>12</v>
      </c>
      <c r="D22" s="25">
        <f>C22*12</f>
        <v>144</v>
      </c>
    </row>
    <row r="23" spans="1:4" ht="12.75">
      <c r="A23" s="1" t="s">
        <v>187</v>
      </c>
      <c r="B23" s="1"/>
      <c r="C23" s="22">
        <f>C21+C22</f>
        <v>234</v>
      </c>
      <c r="D23" s="21">
        <f>C23*12</f>
        <v>2808</v>
      </c>
    </row>
    <row r="24" spans="1:3" ht="12.75">
      <c r="A24" s="1"/>
      <c r="B24" s="1"/>
      <c r="C24" s="1"/>
    </row>
    <row r="25" spans="1:3" ht="12.75">
      <c r="A25" s="2" t="s">
        <v>188</v>
      </c>
      <c r="B25" s="1"/>
      <c r="C25" s="1"/>
    </row>
    <row r="26" spans="1:4" ht="12.75">
      <c r="A26" s="1"/>
      <c r="B26" s="1" t="s">
        <v>181</v>
      </c>
      <c r="C26" s="21">
        <v>50</v>
      </c>
      <c r="D26" s="25">
        <f>C26*12</f>
        <v>600</v>
      </c>
    </row>
    <row r="27" spans="1:4" ht="12.75">
      <c r="A27" s="1" t="s">
        <v>189</v>
      </c>
      <c r="B27" s="1"/>
      <c r="C27" s="22">
        <f>C26</f>
        <v>50</v>
      </c>
      <c r="D27" s="21">
        <f>C27*12</f>
        <v>600</v>
      </c>
    </row>
    <row r="28" spans="1:4" ht="13.5" thickBot="1">
      <c r="A28" s="1" t="s">
        <v>190</v>
      </c>
      <c r="B28" s="1"/>
      <c r="C28" s="23">
        <f>C10+C18+C23+C26</f>
        <v>471</v>
      </c>
      <c r="D28" s="23">
        <f>C28*12</f>
        <v>5652</v>
      </c>
    </row>
    <row r="29" spans="1:3" ht="13.5" thickTop="1">
      <c r="A29" s="1"/>
      <c r="B29" s="1"/>
      <c r="C29" s="1"/>
    </row>
    <row r="30" spans="1:3" ht="12.75">
      <c r="A30" s="1"/>
      <c r="B30" s="1"/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&amp;C&amp;"Arial,Bold"Miscellaneous Expenses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5.7109375" style="1" customWidth="1"/>
    <col min="2" max="6" width="10.7109375" style="1" customWidth="1"/>
    <col min="7" max="9" width="9.140625" style="1" customWidth="1"/>
  </cols>
  <sheetData>
    <row r="1" spans="2:6" ht="12.75">
      <c r="B1" s="2">
        <v>1999</v>
      </c>
      <c r="C1" s="2">
        <v>2000</v>
      </c>
      <c r="D1" s="2">
        <v>2001</v>
      </c>
      <c r="E1" s="2">
        <v>2002</v>
      </c>
      <c r="F1" s="2">
        <v>2003</v>
      </c>
    </row>
    <row r="2" spans="1:6" ht="12.75">
      <c r="A2" s="1" t="s">
        <v>265</v>
      </c>
      <c r="B2" s="4">
        <f>'P&amp;L'!E65</f>
        <v>28</v>
      </c>
      <c r="C2" s="4">
        <f>'P&amp;L'!F65</f>
        <v>86</v>
      </c>
      <c r="D2" s="4">
        <f>'P&amp;L'!G65</f>
        <v>171</v>
      </c>
      <c r="E2" s="4">
        <f>'P&amp;L'!H65</f>
        <v>250</v>
      </c>
      <c r="F2" s="4">
        <f>'P&amp;L'!I65</f>
        <v>392</v>
      </c>
    </row>
    <row r="3" spans="1:6" ht="12.75">
      <c r="A3" s="1" t="s">
        <v>2</v>
      </c>
      <c r="B3" s="21">
        <f>'P&amp;L'!E114</f>
        <v>4161494</v>
      </c>
      <c r="C3" s="21">
        <f>'P&amp;L'!F114</f>
        <v>10593170</v>
      </c>
      <c r="D3" s="21">
        <f>'P&amp;L'!G114</f>
        <v>21366651</v>
      </c>
      <c r="E3" s="21">
        <f>'P&amp;L'!H114</f>
        <v>39099285.93</v>
      </c>
      <c r="F3" s="21">
        <f>'P&amp;L'!I114</f>
        <v>66287325.2869</v>
      </c>
    </row>
    <row r="4" spans="1:6" ht="12.75">
      <c r="A4" s="1" t="s">
        <v>239</v>
      </c>
      <c r="B4" s="4">
        <f>'P&amp;L'!E134</f>
        <v>-1715300.333333334</v>
      </c>
      <c r="C4" s="4">
        <f>'P&amp;L'!F134</f>
        <v>-4117293.333333336</v>
      </c>
      <c r="D4" s="4">
        <f>'P&amp;L'!G134</f>
        <v>657089.7554999995</v>
      </c>
      <c r="E4" s="4">
        <f>'P&amp;L'!H134</f>
        <v>4803803.710625</v>
      </c>
      <c r="F4" s="4">
        <f>'P&amp;L'!I134</f>
        <v>13769823.44629225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3" width="2.7109375" style="1" customWidth="1"/>
    <col min="4" max="16" width="9.140625" style="1" customWidth="1"/>
  </cols>
  <sheetData>
    <row r="1" spans="1:16" s="62" customFormat="1" ht="18.75">
      <c r="A1" s="60" t="s">
        <v>384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ht="12.75">
      <c r="A2" s="2" t="s">
        <v>309</v>
      </c>
    </row>
    <row r="3" ht="12.75">
      <c r="A3" s="2"/>
    </row>
    <row r="4" ht="12.75">
      <c r="A4" s="2" t="s">
        <v>321</v>
      </c>
    </row>
    <row r="5" spans="1:3" ht="12.75">
      <c r="A5" s="2"/>
      <c r="B5" s="1">
        <v>1</v>
      </c>
      <c r="C5" s="1" t="s">
        <v>381</v>
      </c>
    </row>
    <row r="6" spans="1:3" ht="12.75">
      <c r="A6" s="2"/>
      <c r="C6" s="1" t="s">
        <v>382</v>
      </c>
    </row>
    <row r="7" ht="12.75">
      <c r="A7" s="2"/>
    </row>
    <row r="9" ht="12.75">
      <c r="A9" s="2" t="s">
        <v>308</v>
      </c>
    </row>
    <row r="10" spans="2:3" ht="12.75">
      <c r="B10" s="1">
        <v>1</v>
      </c>
      <c r="C10" s="1" t="s">
        <v>379</v>
      </c>
    </row>
    <row r="13" ht="12.75">
      <c r="A13" s="2" t="s">
        <v>1</v>
      </c>
    </row>
    <row r="14" spans="2:3" ht="12.75">
      <c r="B14" s="1">
        <v>1</v>
      </c>
      <c r="C14" s="1" t="s">
        <v>380</v>
      </c>
    </row>
    <row r="17" ht="12.75">
      <c r="A17" s="2" t="s">
        <v>310</v>
      </c>
    </row>
    <row r="18" spans="2:3" ht="12.75">
      <c r="B18" s="1">
        <v>1</v>
      </c>
      <c r="C18" s="1" t="s">
        <v>383</v>
      </c>
    </row>
    <row r="19" ht="12.75">
      <c r="D19" s="1" t="s">
        <v>373</v>
      </c>
    </row>
    <row r="20" ht="12.75">
      <c r="D20" s="1" t="s">
        <v>311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Footer>&amp;L&amp;"Arial,Bold"&amp;8Ent3965&amp;C&amp;8&amp;A&amp;R&amp;8Page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K183"/>
  <sheetViews>
    <sheetView zoomScalePageLayoutView="0" workbookViewId="0" topLeftCell="A1">
      <selection activeCell="E4" sqref="E4:I5"/>
    </sheetView>
  </sheetViews>
  <sheetFormatPr defaultColWidth="9.140625" defaultRowHeight="12.75" outlineLevelRow="3"/>
  <cols>
    <col min="1" max="3" width="2.7109375" style="0" customWidth="1"/>
    <col min="4" max="4" width="24.140625" style="0" customWidth="1"/>
    <col min="5" max="9" width="11.7109375" style="0" customWidth="1"/>
  </cols>
  <sheetData>
    <row r="4" s="1" customFormat="1" ht="12.75">
      <c r="E4" s="6">
        <v>2007</v>
      </c>
    </row>
    <row r="5" spans="5:9" s="1" customFormat="1" ht="12.75">
      <c r="E5" s="6" t="s">
        <v>363</v>
      </c>
      <c r="F5" s="6">
        <f>E4+1</f>
        <v>2008</v>
      </c>
      <c r="G5" s="72">
        <f>F5+1</f>
        <v>2009</v>
      </c>
      <c r="H5" s="72">
        <f>G5+1</f>
        <v>2010</v>
      </c>
      <c r="I5" s="72">
        <f>H5+1</f>
        <v>2011</v>
      </c>
    </row>
    <row r="6" s="1" customFormat="1" ht="12.75">
      <c r="A6" s="2" t="s">
        <v>2</v>
      </c>
    </row>
    <row r="7" spans="1:9" s="1" customFormat="1" ht="12.75">
      <c r="A7" s="2"/>
      <c r="E7" s="4"/>
      <c r="F7" s="4"/>
      <c r="G7" s="4"/>
      <c r="H7" s="4"/>
      <c r="I7" s="4"/>
    </row>
    <row r="8" spans="1:9" s="1" customFormat="1" ht="12.75" hidden="1" outlineLevel="1">
      <c r="A8" s="2"/>
      <c r="B8" s="2" t="s">
        <v>13</v>
      </c>
      <c r="C8" s="2"/>
      <c r="E8" s="4"/>
      <c r="F8" s="4"/>
      <c r="G8" s="4"/>
      <c r="H8" s="4"/>
      <c r="I8" s="4"/>
    </row>
    <row r="9" spans="1:9" s="1" customFormat="1" ht="12.75" hidden="1" outlineLevel="1">
      <c r="A9" s="2"/>
      <c r="C9" s="1" t="s">
        <v>10</v>
      </c>
      <c r="E9" s="4">
        <v>1050</v>
      </c>
      <c r="F9" s="4">
        <v>1050</v>
      </c>
      <c r="G9" s="4">
        <v>1050</v>
      </c>
      <c r="H9" s="4">
        <v>1050</v>
      </c>
      <c r="I9" s="4">
        <v>1050</v>
      </c>
    </row>
    <row r="10" spans="1:9" s="1" customFormat="1" ht="12.75" hidden="1" outlineLevel="1">
      <c r="A10" s="2"/>
      <c r="C10" s="1" t="s">
        <v>9</v>
      </c>
      <c r="E10" s="4">
        <v>2400</v>
      </c>
      <c r="F10" s="4">
        <v>2400</v>
      </c>
      <c r="G10" s="4">
        <v>2400</v>
      </c>
      <c r="H10" s="4">
        <v>2400</v>
      </c>
      <c r="I10" s="4">
        <v>2400</v>
      </c>
    </row>
    <row r="11" spans="1:9" s="1" customFormat="1" ht="12.75" hidden="1" outlineLevel="1">
      <c r="A11" s="2"/>
      <c r="C11" s="1" t="s">
        <v>11</v>
      </c>
      <c r="E11" s="4"/>
      <c r="F11" s="4"/>
      <c r="G11" s="4"/>
      <c r="H11" s="4"/>
      <c r="I11" s="4"/>
    </row>
    <row r="12" spans="1:9" s="1" customFormat="1" ht="12.75" hidden="1" outlineLevel="1">
      <c r="A12" s="2"/>
      <c r="E12" s="4"/>
      <c r="F12" s="4"/>
      <c r="G12" s="4"/>
      <c r="H12" s="4"/>
      <c r="I12" s="4"/>
    </row>
    <row r="13" spans="1:9" s="1" customFormat="1" ht="12.75" hidden="1" outlineLevel="1">
      <c r="A13" s="2"/>
      <c r="B13" s="2" t="s">
        <v>375</v>
      </c>
      <c r="C13" s="2"/>
      <c r="E13" s="6"/>
      <c r="F13" s="6"/>
      <c r="G13" s="6"/>
      <c r="H13" s="6"/>
      <c r="I13" s="6"/>
    </row>
    <row r="14" spans="1:9" s="1" customFormat="1" ht="12.75" hidden="1" outlineLevel="1">
      <c r="A14" s="2"/>
      <c r="C14" s="56" t="s">
        <v>285</v>
      </c>
      <c r="D14" s="3"/>
      <c r="E14" s="4">
        <v>30000</v>
      </c>
      <c r="F14" s="4">
        <v>30000</v>
      </c>
      <c r="G14" s="4">
        <v>30000</v>
      </c>
      <c r="H14" s="4">
        <v>0</v>
      </c>
      <c r="I14" s="4">
        <v>0</v>
      </c>
    </row>
    <row r="15" spans="1:9" s="1" customFormat="1" ht="12.75" hidden="1" outlineLevel="1">
      <c r="A15" s="2"/>
      <c r="C15" s="56" t="s">
        <v>286</v>
      </c>
      <c r="D15" s="3"/>
      <c r="E15" s="4"/>
      <c r="F15" s="4"/>
      <c r="G15" s="4"/>
      <c r="H15" s="4">
        <v>50000</v>
      </c>
      <c r="I15" s="4">
        <v>50000</v>
      </c>
    </row>
    <row r="16" spans="1:9" s="1" customFormat="1" ht="12.75" hidden="1" outlineLevel="1">
      <c r="A16" s="2"/>
      <c r="C16" s="56" t="s">
        <v>288</v>
      </c>
      <c r="D16" s="3"/>
      <c r="E16" s="4">
        <v>55000</v>
      </c>
      <c r="F16" s="4">
        <v>55000</v>
      </c>
      <c r="G16" s="4">
        <v>55000</v>
      </c>
      <c r="H16" s="4">
        <v>55000</v>
      </c>
      <c r="I16" s="4">
        <v>55000</v>
      </c>
    </row>
    <row r="17" spans="1:9" s="1" customFormat="1" ht="12.75" hidden="1" outlineLevel="1">
      <c r="A17" s="2"/>
      <c r="C17" s="56" t="s">
        <v>289</v>
      </c>
      <c r="D17" s="3"/>
      <c r="E17" s="4">
        <v>75000</v>
      </c>
      <c r="F17" s="4">
        <v>75000</v>
      </c>
      <c r="G17" s="4">
        <v>75000</v>
      </c>
      <c r="H17" s="4">
        <v>75000</v>
      </c>
      <c r="I17" s="4">
        <v>75000</v>
      </c>
    </row>
    <row r="18" spans="1:9" s="1" customFormat="1" ht="12.75" hidden="1" outlineLevel="1">
      <c r="A18" s="2"/>
      <c r="C18" s="56" t="s">
        <v>290</v>
      </c>
      <c r="D18" s="3"/>
      <c r="E18" s="4"/>
      <c r="F18" s="4">
        <v>85000</v>
      </c>
      <c r="G18" s="4">
        <v>85000</v>
      </c>
      <c r="H18" s="4">
        <v>85000</v>
      </c>
      <c r="I18" s="4">
        <v>85000</v>
      </c>
    </row>
    <row r="19" spans="1:9" s="1" customFormat="1" ht="12.75" hidden="1" outlineLevel="1">
      <c r="A19" s="2"/>
      <c r="C19" s="56" t="s">
        <v>287</v>
      </c>
      <c r="D19" s="3"/>
      <c r="E19" s="4">
        <v>85000</v>
      </c>
      <c r="F19" s="4">
        <v>110000</v>
      </c>
      <c r="G19" s="4">
        <v>110000</v>
      </c>
      <c r="H19" s="4">
        <v>110000</v>
      </c>
      <c r="I19" s="4">
        <v>110000</v>
      </c>
    </row>
    <row r="20" spans="1:9" s="1" customFormat="1" ht="12.75" hidden="1" outlineLevel="1">
      <c r="A20" s="2"/>
      <c r="C20" s="3" t="s">
        <v>266</v>
      </c>
      <c r="D20" s="3"/>
      <c r="E20" s="4">
        <v>20000</v>
      </c>
      <c r="F20" s="4">
        <v>20000</v>
      </c>
      <c r="G20" s="4">
        <v>20000</v>
      </c>
      <c r="H20" s="4">
        <v>20000</v>
      </c>
      <c r="I20" s="4">
        <v>20000</v>
      </c>
    </row>
    <row r="21" spans="1:9" s="1" customFormat="1" ht="12.75" hidden="1" outlineLevel="1">
      <c r="A21" s="2"/>
      <c r="C21" s="3" t="s">
        <v>14</v>
      </c>
      <c r="D21" s="3"/>
      <c r="E21" s="4">
        <v>45000</v>
      </c>
      <c r="F21" s="4">
        <v>45000</v>
      </c>
      <c r="G21" s="4">
        <v>45000</v>
      </c>
      <c r="H21" s="4">
        <v>45000</v>
      </c>
      <c r="I21" s="4">
        <v>45000</v>
      </c>
    </row>
    <row r="22" spans="1:9" s="1" customFormat="1" ht="12.75" hidden="1" outlineLevel="1">
      <c r="A22" s="2"/>
      <c r="C22" s="3" t="s">
        <v>15</v>
      </c>
      <c r="D22" s="3"/>
      <c r="E22" s="4">
        <v>65000</v>
      </c>
      <c r="F22" s="4">
        <v>65000</v>
      </c>
      <c r="G22" s="4">
        <v>65000</v>
      </c>
      <c r="H22" s="4">
        <v>65000</v>
      </c>
      <c r="I22" s="4">
        <v>65000</v>
      </c>
    </row>
    <row r="23" spans="1:9" s="1" customFormat="1" ht="12.75" hidden="1" outlineLevel="1">
      <c r="A23" s="2"/>
      <c r="E23" s="4"/>
      <c r="F23" s="4"/>
      <c r="G23" s="4"/>
      <c r="H23" s="4"/>
      <c r="I23" s="4"/>
    </row>
    <row r="24" spans="2:9" s="1" customFormat="1" ht="12.75" hidden="1" outlineLevel="1" collapsed="1">
      <c r="B24" s="2" t="s">
        <v>1</v>
      </c>
      <c r="C24" s="2"/>
      <c r="E24" s="6"/>
      <c r="F24" s="6"/>
      <c r="G24" s="6"/>
      <c r="H24" s="6"/>
      <c r="I24" s="6"/>
    </row>
    <row r="25" spans="3:9" s="1" customFormat="1" ht="12.75" hidden="1" outlineLevel="1">
      <c r="C25" s="56" t="s">
        <v>285</v>
      </c>
      <c r="D25" s="3"/>
      <c r="E25" s="4">
        <f aca="true" t="shared" si="0" ref="E25:G26">E14</f>
        <v>30000</v>
      </c>
      <c r="F25" s="4">
        <f t="shared" si="0"/>
        <v>30000</v>
      </c>
      <c r="G25" s="4">
        <f t="shared" si="0"/>
        <v>30000</v>
      </c>
      <c r="H25" s="4">
        <v>0</v>
      </c>
      <c r="I25" s="4">
        <v>0</v>
      </c>
    </row>
    <row r="26" spans="3:9" s="1" customFormat="1" ht="12.75" hidden="1" outlineLevel="1">
      <c r="C26" s="56" t="s">
        <v>286</v>
      </c>
      <c r="D26" s="3"/>
      <c r="E26" s="4">
        <f t="shared" si="0"/>
        <v>0</v>
      </c>
      <c r="F26" s="4">
        <f t="shared" si="0"/>
        <v>0</v>
      </c>
      <c r="G26" s="4">
        <f t="shared" si="0"/>
        <v>0</v>
      </c>
      <c r="H26" s="4">
        <f>H15</f>
        <v>50000</v>
      </c>
      <c r="I26" s="4">
        <f>I15</f>
        <v>50000</v>
      </c>
    </row>
    <row r="27" spans="3:9" s="1" customFormat="1" ht="12.75" hidden="1" outlineLevel="1">
      <c r="C27" s="56" t="s">
        <v>288</v>
      </c>
      <c r="D27" s="3"/>
      <c r="E27" s="4">
        <f aca="true" t="shared" si="1" ref="E27:I30">SQL_Server_Price+Cold_Fusion_Price+E16</f>
        <v>58450</v>
      </c>
      <c r="F27" s="4">
        <f t="shared" si="1"/>
        <v>58450</v>
      </c>
      <c r="G27" s="4">
        <f t="shared" si="1"/>
        <v>58450</v>
      </c>
      <c r="H27" s="4">
        <f t="shared" si="1"/>
        <v>58450</v>
      </c>
      <c r="I27" s="4">
        <f t="shared" si="1"/>
        <v>58450</v>
      </c>
    </row>
    <row r="28" spans="3:9" s="1" customFormat="1" ht="12.75" hidden="1" outlineLevel="1">
      <c r="C28" s="56" t="s">
        <v>289</v>
      </c>
      <c r="D28" s="3"/>
      <c r="E28" s="4">
        <f t="shared" si="1"/>
        <v>78450</v>
      </c>
      <c r="F28" s="4">
        <f t="shared" si="1"/>
        <v>78450</v>
      </c>
      <c r="G28" s="4">
        <f t="shared" si="1"/>
        <v>78450</v>
      </c>
      <c r="H28" s="4">
        <f t="shared" si="1"/>
        <v>78450</v>
      </c>
      <c r="I28" s="4">
        <f t="shared" si="1"/>
        <v>78450</v>
      </c>
    </row>
    <row r="29" spans="3:9" s="1" customFormat="1" ht="12.75" hidden="1" outlineLevel="1">
      <c r="C29" s="56" t="s">
        <v>290</v>
      </c>
      <c r="D29" s="3"/>
      <c r="E29" s="4">
        <v>0</v>
      </c>
      <c r="F29" s="4">
        <f t="shared" si="1"/>
        <v>88450</v>
      </c>
      <c r="G29" s="4">
        <f t="shared" si="1"/>
        <v>88450</v>
      </c>
      <c r="H29" s="4">
        <f t="shared" si="1"/>
        <v>88450</v>
      </c>
      <c r="I29" s="4">
        <f t="shared" si="1"/>
        <v>88450</v>
      </c>
    </row>
    <row r="30" spans="3:9" s="1" customFormat="1" ht="12.75" hidden="1" outlineLevel="1">
      <c r="C30" s="56" t="s">
        <v>287</v>
      </c>
      <c r="D30" s="3"/>
      <c r="E30" s="4">
        <f t="shared" si="1"/>
        <v>88450</v>
      </c>
      <c r="F30" s="4">
        <f t="shared" si="1"/>
        <v>113450</v>
      </c>
      <c r="G30" s="4">
        <f t="shared" si="1"/>
        <v>113450</v>
      </c>
      <c r="H30" s="4">
        <f t="shared" si="1"/>
        <v>113450</v>
      </c>
      <c r="I30" s="4">
        <f t="shared" si="1"/>
        <v>113450</v>
      </c>
    </row>
    <row r="31" spans="3:9" s="1" customFormat="1" ht="12.75" hidden="1" outlineLevel="1">
      <c r="C31" s="3" t="s">
        <v>266</v>
      </c>
      <c r="E31" s="4">
        <f>E20</f>
        <v>20000</v>
      </c>
      <c r="F31" s="4">
        <f>F20</f>
        <v>20000</v>
      </c>
      <c r="G31" s="4">
        <f>G20</f>
        <v>20000</v>
      </c>
      <c r="H31" s="4">
        <f>H20</f>
        <v>20000</v>
      </c>
      <c r="I31" s="4">
        <f>I20</f>
        <v>20000</v>
      </c>
    </row>
    <row r="32" spans="3:9" s="1" customFormat="1" ht="12.75" hidden="1" outlineLevel="1">
      <c r="C32" s="3" t="s">
        <v>14</v>
      </c>
      <c r="E32" s="4">
        <f aca="true" t="shared" si="2" ref="E32:I33">E21</f>
        <v>45000</v>
      </c>
      <c r="F32" s="4">
        <f t="shared" si="2"/>
        <v>45000</v>
      </c>
      <c r="G32" s="4">
        <f t="shared" si="2"/>
        <v>45000</v>
      </c>
      <c r="H32" s="4">
        <f t="shared" si="2"/>
        <v>45000</v>
      </c>
      <c r="I32" s="4">
        <f t="shared" si="2"/>
        <v>45000</v>
      </c>
    </row>
    <row r="33" spans="3:9" s="1" customFormat="1" ht="12.75" hidden="1" outlineLevel="1">
      <c r="C33" s="3" t="s">
        <v>15</v>
      </c>
      <c r="E33" s="4">
        <f t="shared" si="2"/>
        <v>65000</v>
      </c>
      <c r="F33" s="4">
        <f t="shared" si="2"/>
        <v>65000</v>
      </c>
      <c r="G33" s="4">
        <f t="shared" si="2"/>
        <v>65000</v>
      </c>
      <c r="H33" s="4">
        <f t="shared" si="2"/>
        <v>65000</v>
      </c>
      <c r="I33" s="4">
        <f t="shared" si="2"/>
        <v>65000</v>
      </c>
    </row>
    <row r="34" spans="4:9" s="1" customFormat="1" ht="12.75" hidden="1" outlineLevel="1">
      <c r="D34" s="3"/>
      <c r="E34" s="4"/>
      <c r="F34" s="4"/>
      <c r="G34" s="4"/>
      <c r="H34" s="4"/>
      <c r="I34" s="4"/>
    </row>
    <row r="35" spans="2:9" s="1" customFormat="1" ht="12.75" hidden="1" outlineLevel="1">
      <c r="B35" s="2" t="s">
        <v>0</v>
      </c>
      <c r="C35" s="2"/>
      <c r="D35" s="3"/>
      <c r="E35" s="2"/>
      <c r="F35" s="2"/>
      <c r="G35" s="2"/>
      <c r="H35" s="2"/>
      <c r="I35" s="2"/>
    </row>
    <row r="36" spans="2:9" s="1" customFormat="1" ht="12.75" hidden="1" outlineLevel="3">
      <c r="B36" s="2"/>
      <c r="C36" s="2"/>
      <c r="D36" s="3" t="s">
        <v>270</v>
      </c>
      <c r="E36" s="4">
        <v>6</v>
      </c>
      <c r="F36" s="4">
        <v>15</v>
      </c>
      <c r="G36" s="4">
        <v>30</v>
      </c>
      <c r="H36" s="57">
        <v>0</v>
      </c>
      <c r="I36" s="57">
        <v>0</v>
      </c>
    </row>
    <row r="37" spans="2:9" s="1" customFormat="1" ht="12.75" hidden="1" outlineLevel="3">
      <c r="B37" s="2"/>
      <c r="C37" s="2"/>
      <c r="D37" s="3" t="s">
        <v>271</v>
      </c>
      <c r="E37" s="4"/>
      <c r="F37" s="4">
        <v>6</v>
      </c>
      <c r="G37" s="4">
        <v>15</v>
      </c>
      <c r="H37" s="57">
        <v>0</v>
      </c>
      <c r="I37" s="57">
        <v>0</v>
      </c>
    </row>
    <row r="38" spans="4:9" s="1" customFormat="1" ht="12.75" hidden="1" outlineLevel="3">
      <c r="D38" s="3" t="s">
        <v>272</v>
      </c>
      <c r="E38" s="5">
        <v>2</v>
      </c>
      <c r="F38" s="5">
        <v>4</v>
      </c>
      <c r="G38" s="5">
        <v>6</v>
      </c>
      <c r="H38" s="58"/>
      <c r="I38" s="58"/>
    </row>
    <row r="39" spans="3:9" s="1" customFormat="1" ht="12.75" hidden="1" outlineLevel="2">
      <c r="C39" s="56" t="s">
        <v>285</v>
      </c>
      <c r="D39" s="56"/>
      <c r="E39" s="4">
        <f>SUM(E36:E38)</f>
        <v>8</v>
      </c>
      <c r="F39" s="4">
        <f>SUM(F36:F38)</f>
        <v>25</v>
      </c>
      <c r="G39" s="4">
        <f>SUM(G36:G38)</f>
        <v>51</v>
      </c>
      <c r="H39" s="4">
        <f>SUM(H36:H38)</f>
        <v>0</v>
      </c>
      <c r="I39" s="4">
        <f>SUM(I36:I38)</f>
        <v>0</v>
      </c>
    </row>
    <row r="40" spans="3:9" s="1" customFormat="1" ht="12.75" hidden="1" outlineLevel="3">
      <c r="C40" s="11"/>
      <c r="D40" s="3"/>
      <c r="E40" s="4"/>
      <c r="F40" s="4"/>
      <c r="G40" s="4"/>
      <c r="H40" s="4"/>
      <c r="I40" s="4"/>
    </row>
    <row r="41" spans="3:9" s="1" customFormat="1" ht="12.75" hidden="1" outlineLevel="3">
      <c r="C41" s="11"/>
      <c r="D41" s="3" t="s">
        <v>273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</row>
    <row r="42" spans="3:9" s="1" customFormat="1" ht="12.75" hidden="1" outlineLevel="3">
      <c r="C42" s="11"/>
      <c r="D42" s="3" t="s">
        <v>274</v>
      </c>
      <c r="E42" s="4"/>
      <c r="F42" s="4"/>
      <c r="G42" s="4"/>
      <c r="H42" s="4"/>
      <c r="I42" s="4"/>
    </row>
    <row r="43" spans="3:9" s="1" customFormat="1" ht="12.75" hidden="1" outlineLevel="3">
      <c r="C43" s="11"/>
      <c r="D43" s="3" t="s">
        <v>275</v>
      </c>
      <c r="E43" s="5"/>
      <c r="F43" s="5"/>
      <c r="G43" s="5"/>
      <c r="H43" s="5">
        <v>50</v>
      </c>
      <c r="I43" s="5">
        <v>75</v>
      </c>
    </row>
    <row r="44" spans="3:9" s="1" customFormat="1" ht="12.75" hidden="1" outlineLevel="2">
      <c r="C44" s="56" t="s">
        <v>286</v>
      </c>
      <c r="E44" s="4">
        <f>SUM(E41:E43)</f>
        <v>0</v>
      </c>
      <c r="F44" s="4">
        <f>SUM(F41:F43)</f>
        <v>0</v>
      </c>
      <c r="G44" s="4">
        <f>SUM(G41:G43)</f>
        <v>0</v>
      </c>
      <c r="H44" s="4">
        <f>SUM(H41:H43)</f>
        <v>50</v>
      </c>
      <c r="I44" s="4">
        <f>SUM(I41:I43)</f>
        <v>75</v>
      </c>
    </row>
    <row r="45" spans="3:9" s="1" customFormat="1" ht="12.75" hidden="1" outlineLevel="3">
      <c r="C45" s="11"/>
      <c r="D45" s="3"/>
      <c r="E45" s="4"/>
      <c r="F45" s="4"/>
      <c r="G45" s="4"/>
      <c r="H45" s="4"/>
      <c r="I45" s="4"/>
    </row>
    <row r="46" spans="3:9" s="1" customFormat="1" ht="12.75" hidden="1" outlineLevel="3">
      <c r="C46" s="11"/>
      <c r="D46" s="3" t="s">
        <v>276</v>
      </c>
      <c r="E46" s="4">
        <v>3</v>
      </c>
      <c r="F46" s="4">
        <v>9</v>
      </c>
      <c r="G46" s="4">
        <v>18</v>
      </c>
      <c r="H46" s="4">
        <v>28</v>
      </c>
      <c r="I46" s="4">
        <v>38</v>
      </c>
    </row>
    <row r="47" spans="3:9" s="1" customFormat="1" ht="12.75" hidden="1" outlineLevel="3">
      <c r="C47" s="11"/>
      <c r="D47" s="3" t="s">
        <v>277</v>
      </c>
      <c r="E47" s="4"/>
      <c r="F47" s="4"/>
      <c r="G47" s="4"/>
      <c r="H47" s="4"/>
      <c r="I47" s="4"/>
    </row>
    <row r="48" spans="3:9" s="1" customFormat="1" ht="12.75" hidden="1" outlineLevel="3">
      <c r="C48" s="11"/>
      <c r="D48" s="3" t="s">
        <v>278</v>
      </c>
      <c r="E48" s="5">
        <v>1</v>
      </c>
      <c r="F48" s="5">
        <v>2</v>
      </c>
      <c r="G48" s="5">
        <v>7</v>
      </c>
      <c r="H48" s="5">
        <v>11</v>
      </c>
      <c r="I48" s="5">
        <v>20</v>
      </c>
    </row>
    <row r="49" spans="3:9" s="1" customFormat="1" ht="12.75" hidden="1" outlineLevel="2">
      <c r="C49" s="56" t="s">
        <v>288</v>
      </c>
      <c r="E49" s="4">
        <f>SUM(E46:E48)</f>
        <v>4</v>
      </c>
      <c r="F49" s="4">
        <f>SUM(F46:F48)</f>
        <v>11</v>
      </c>
      <c r="G49" s="4">
        <f>SUM(G46:G48)</f>
        <v>25</v>
      </c>
      <c r="H49" s="4">
        <f>SUM(H46:H48)</f>
        <v>39</v>
      </c>
      <c r="I49" s="4">
        <f>SUM(I46:I48)</f>
        <v>58</v>
      </c>
    </row>
    <row r="50" spans="3:9" s="1" customFormat="1" ht="12.75" hidden="1" outlineLevel="3">
      <c r="C50" s="11"/>
      <c r="D50" s="3"/>
      <c r="E50" s="4"/>
      <c r="F50" s="4"/>
      <c r="G50" s="4"/>
      <c r="H50" s="4"/>
      <c r="I50" s="4"/>
    </row>
    <row r="51" spans="3:9" s="1" customFormat="1" ht="12.75" hidden="1" outlineLevel="3">
      <c r="C51" s="11"/>
      <c r="D51" s="3" t="s">
        <v>279</v>
      </c>
      <c r="E51" s="4">
        <v>3</v>
      </c>
      <c r="F51" s="4">
        <v>7</v>
      </c>
      <c r="G51" s="4">
        <v>16</v>
      </c>
      <c r="H51" s="4">
        <v>26</v>
      </c>
      <c r="I51" s="4">
        <v>40</v>
      </c>
    </row>
    <row r="52" spans="3:9" s="1" customFormat="1" ht="12.75" hidden="1" outlineLevel="3">
      <c r="C52" s="11"/>
      <c r="D52" s="3" t="s">
        <v>280</v>
      </c>
      <c r="E52" s="4"/>
      <c r="F52" s="4"/>
      <c r="G52" s="4"/>
      <c r="H52" s="4"/>
      <c r="I52" s="4"/>
    </row>
    <row r="53" spans="3:9" s="1" customFormat="1" ht="12.75" hidden="1" outlineLevel="3">
      <c r="C53" s="11"/>
      <c r="D53" s="3" t="s">
        <v>281</v>
      </c>
      <c r="E53" s="5">
        <v>1</v>
      </c>
      <c r="F53" s="5">
        <v>2</v>
      </c>
      <c r="G53" s="5">
        <v>5</v>
      </c>
      <c r="H53" s="5">
        <v>9</v>
      </c>
      <c r="I53" s="5">
        <v>18</v>
      </c>
    </row>
    <row r="54" spans="3:9" s="1" customFormat="1" ht="12.75" hidden="1" outlineLevel="2">
      <c r="C54" s="56" t="s">
        <v>289</v>
      </c>
      <c r="E54" s="4">
        <f>SUM(E51:E53)</f>
        <v>4</v>
      </c>
      <c r="F54" s="4">
        <f>SUM(F51:F53)</f>
        <v>9</v>
      </c>
      <c r="G54" s="4">
        <f>SUM(G51:G53)</f>
        <v>21</v>
      </c>
      <c r="H54" s="4">
        <f>SUM(H51:H53)</f>
        <v>35</v>
      </c>
      <c r="I54" s="4">
        <f>SUM(I51:I53)</f>
        <v>58</v>
      </c>
    </row>
    <row r="55" spans="3:9" s="1" customFormat="1" ht="12.75" hidden="1" outlineLevel="3">
      <c r="C55" s="11"/>
      <c r="D55" s="3"/>
      <c r="E55" s="4"/>
      <c r="F55" s="4"/>
      <c r="G55" s="4"/>
      <c r="H55" s="4"/>
      <c r="I55" s="4"/>
    </row>
    <row r="56" spans="3:9" s="1" customFormat="1" ht="12.75" hidden="1" outlineLevel="3">
      <c r="C56" s="11"/>
      <c r="D56" s="3" t="s">
        <v>282</v>
      </c>
      <c r="E56" s="4"/>
      <c r="F56" s="4">
        <v>2</v>
      </c>
      <c r="G56" s="4">
        <v>6</v>
      </c>
      <c r="H56" s="4">
        <v>15</v>
      </c>
      <c r="I56" s="4">
        <v>35</v>
      </c>
    </row>
    <row r="57" spans="3:9" s="1" customFormat="1" ht="12.75" hidden="1" outlineLevel="3">
      <c r="C57" s="11"/>
      <c r="D57" s="3" t="s">
        <v>283</v>
      </c>
      <c r="E57" s="4"/>
      <c r="F57" s="4"/>
      <c r="G57" s="4"/>
      <c r="H57" s="4"/>
      <c r="I57" s="4"/>
    </row>
    <row r="58" spans="3:9" s="1" customFormat="1" ht="12.75" hidden="1" outlineLevel="3">
      <c r="C58" s="11"/>
      <c r="D58" s="3" t="s">
        <v>284</v>
      </c>
      <c r="E58" s="5"/>
      <c r="F58" s="5"/>
      <c r="G58" s="5">
        <v>3</v>
      </c>
      <c r="H58" s="5">
        <v>8</v>
      </c>
      <c r="I58" s="5">
        <v>17</v>
      </c>
    </row>
    <row r="59" spans="3:9" s="1" customFormat="1" ht="12.75" hidden="1" outlineLevel="2">
      <c r="C59" s="56" t="s">
        <v>290</v>
      </c>
      <c r="E59" s="4"/>
      <c r="F59" s="4">
        <f>SUM(F56:F58)</f>
        <v>2</v>
      </c>
      <c r="G59" s="4">
        <f>SUM(G56:G58)</f>
        <v>9</v>
      </c>
      <c r="H59" s="4">
        <f>SUM(H56:H58)</f>
        <v>23</v>
      </c>
      <c r="I59" s="4">
        <f>SUM(I56:I58)</f>
        <v>52</v>
      </c>
    </row>
    <row r="60" spans="3:9" s="1" customFormat="1" ht="12.75" hidden="1" outlineLevel="3">
      <c r="C60" s="11"/>
      <c r="D60" s="3"/>
      <c r="E60" s="4"/>
      <c r="F60" s="4"/>
      <c r="G60" s="4"/>
      <c r="H60" s="4"/>
      <c r="I60" s="4"/>
    </row>
    <row r="61" spans="3:9" s="1" customFormat="1" ht="12.75" hidden="1" outlineLevel="3">
      <c r="C61" s="11"/>
      <c r="D61" s="3" t="s">
        <v>296</v>
      </c>
      <c r="E61" s="4">
        <v>9</v>
      </c>
      <c r="F61" s="4">
        <v>20</v>
      </c>
      <c r="G61" s="4">
        <v>35</v>
      </c>
      <c r="H61" s="4">
        <v>55</v>
      </c>
      <c r="I61" s="4">
        <v>75</v>
      </c>
    </row>
    <row r="62" spans="3:9" s="1" customFormat="1" ht="12.75" hidden="1" outlineLevel="3">
      <c r="C62" s="11"/>
      <c r="D62" s="3" t="s">
        <v>297</v>
      </c>
      <c r="E62" s="4">
        <v>1</v>
      </c>
      <c r="F62" s="4">
        <v>12</v>
      </c>
      <c r="G62" s="4">
        <v>18</v>
      </c>
      <c r="H62" s="4">
        <v>26</v>
      </c>
      <c r="I62" s="4">
        <v>36</v>
      </c>
    </row>
    <row r="63" spans="3:9" s="1" customFormat="1" ht="12.75" hidden="1" outlineLevel="3">
      <c r="C63" s="11"/>
      <c r="D63" s="3" t="s">
        <v>298</v>
      </c>
      <c r="E63" s="5">
        <v>2</v>
      </c>
      <c r="F63" s="5">
        <v>7</v>
      </c>
      <c r="G63" s="5">
        <v>12</v>
      </c>
      <c r="H63" s="5">
        <v>22</v>
      </c>
      <c r="I63" s="5">
        <v>38</v>
      </c>
    </row>
    <row r="64" spans="3:9" s="1" customFormat="1" ht="12.75" hidden="1" outlineLevel="2">
      <c r="C64" s="56" t="s">
        <v>287</v>
      </c>
      <c r="E64" s="5">
        <f>SUM(E61:E63)</f>
        <v>12</v>
      </c>
      <c r="F64" s="5">
        <f>SUM(F61:F63)</f>
        <v>39</v>
      </c>
      <c r="G64" s="5">
        <f>SUM(G61:G63)</f>
        <v>65</v>
      </c>
      <c r="H64" s="5">
        <f>SUM(H61:H63)</f>
        <v>103</v>
      </c>
      <c r="I64" s="5">
        <f>SUM(I61:I63)</f>
        <v>149</v>
      </c>
    </row>
    <row r="65" spans="2:9" s="1" customFormat="1" ht="12.75" hidden="1" outlineLevel="1">
      <c r="B65" s="1" t="s">
        <v>315</v>
      </c>
      <c r="D65" s="3"/>
      <c r="E65" s="4">
        <f>E39+E44+E49+E54+E59+E64</f>
        <v>28</v>
      </c>
      <c r="F65" s="4">
        <f>F39+F44+F49+F54+F59+F64</f>
        <v>86</v>
      </c>
      <c r="G65" s="4">
        <f>G39+G44+G49+G54+G59+G64</f>
        <v>171</v>
      </c>
      <c r="H65" s="4">
        <f>H39+H44+H49+H54+H59+H64</f>
        <v>250</v>
      </c>
      <c r="I65" s="4">
        <f>I39+I44+I49+I54+I59+I64</f>
        <v>392</v>
      </c>
    </row>
    <row r="66" spans="4:9" s="1" customFormat="1" ht="12.75" hidden="1" outlineLevel="3">
      <c r="D66" s="3"/>
      <c r="E66" s="4"/>
      <c r="F66" s="4"/>
      <c r="G66" s="4"/>
      <c r="H66" s="4"/>
      <c r="I66" s="4"/>
    </row>
    <row r="67" spans="4:9" s="1" customFormat="1" ht="12.75" hidden="1" outlineLevel="3">
      <c r="D67" s="3" t="s">
        <v>299</v>
      </c>
      <c r="E67" s="4"/>
      <c r="F67" s="4"/>
      <c r="G67" s="4"/>
      <c r="H67" s="4"/>
      <c r="I67" s="4"/>
    </row>
    <row r="68" spans="4:9" s="1" customFormat="1" ht="12.75" hidden="1" outlineLevel="3">
      <c r="D68" s="3" t="s">
        <v>300</v>
      </c>
      <c r="E68" s="4"/>
      <c r="F68" s="4"/>
      <c r="G68" s="4"/>
      <c r="H68" s="4"/>
      <c r="I68" s="4"/>
    </row>
    <row r="69" spans="4:9" s="1" customFormat="1" ht="12.75" hidden="1" outlineLevel="3">
      <c r="D69" s="3" t="s">
        <v>301</v>
      </c>
      <c r="E69" s="5"/>
      <c r="F69" s="5"/>
      <c r="G69" s="5"/>
      <c r="H69" s="5"/>
      <c r="I69" s="5"/>
    </row>
    <row r="70" spans="3:9" s="1" customFormat="1" ht="12.75" hidden="1" outlineLevel="2">
      <c r="C70" s="3" t="s">
        <v>316</v>
      </c>
      <c r="E70" s="4">
        <f>SUM(E67:E69)</f>
        <v>0</v>
      </c>
      <c r="F70" s="4">
        <f>SUM(F67:F69)</f>
        <v>0</v>
      </c>
      <c r="G70" s="4">
        <f>SUM(G67:G69)</f>
        <v>0</v>
      </c>
      <c r="H70" s="4">
        <f>SUM(H67:H69)</f>
        <v>0</v>
      </c>
      <c r="I70" s="4">
        <f>SUM(I67:I69)</f>
        <v>0</v>
      </c>
    </row>
    <row r="71" spans="3:9" s="1" customFormat="1" ht="12.75" hidden="1" outlineLevel="3">
      <c r="C71" s="3"/>
      <c r="E71" s="4"/>
      <c r="F71" s="4"/>
      <c r="G71" s="4"/>
      <c r="H71" s="4"/>
      <c r="I71" s="4"/>
    </row>
    <row r="72" spans="3:9" s="1" customFormat="1" ht="12.75" hidden="1" outlineLevel="3">
      <c r="C72" s="3"/>
      <c r="D72" s="1" t="s">
        <v>302</v>
      </c>
      <c r="E72" s="4"/>
      <c r="F72" s="4"/>
      <c r="G72" s="4"/>
      <c r="H72" s="4"/>
      <c r="I72" s="4"/>
    </row>
    <row r="73" spans="3:9" s="1" customFormat="1" ht="12.75" hidden="1" outlineLevel="3">
      <c r="C73" s="3"/>
      <c r="D73" s="1" t="s">
        <v>303</v>
      </c>
      <c r="E73" s="4"/>
      <c r="F73" s="4"/>
      <c r="G73" s="4"/>
      <c r="H73" s="4"/>
      <c r="I73" s="4"/>
    </row>
    <row r="74" spans="3:9" s="1" customFormat="1" ht="12.75" hidden="1" outlineLevel="3">
      <c r="C74" s="3"/>
      <c r="D74" s="1" t="s">
        <v>304</v>
      </c>
      <c r="E74" s="5"/>
      <c r="F74" s="5"/>
      <c r="G74" s="5"/>
      <c r="H74" s="5"/>
      <c r="I74" s="5"/>
    </row>
    <row r="75" spans="3:9" s="1" customFormat="1" ht="12.75" hidden="1" outlineLevel="2">
      <c r="C75" s="3" t="s">
        <v>14</v>
      </c>
      <c r="E75" s="4">
        <f>SUM(E72:E74)</f>
        <v>0</v>
      </c>
      <c r="F75" s="4">
        <f>SUM(F72:F74)</f>
        <v>0</v>
      </c>
      <c r="G75" s="4">
        <f>SUM(G72:G74)</f>
        <v>0</v>
      </c>
      <c r="H75" s="4">
        <f>SUM(H72:H74)</f>
        <v>0</v>
      </c>
      <c r="I75" s="4">
        <f>SUM(I72:I74)</f>
        <v>0</v>
      </c>
    </row>
    <row r="76" spans="3:9" s="1" customFormat="1" ht="12.75" hidden="1" outlineLevel="3">
      <c r="C76" s="3"/>
      <c r="E76" s="4"/>
      <c r="F76" s="4"/>
      <c r="G76" s="4"/>
      <c r="H76" s="4"/>
      <c r="I76" s="4"/>
    </row>
    <row r="77" spans="3:9" s="1" customFormat="1" ht="12.75" hidden="1" outlineLevel="3">
      <c r="C77" s="3"/>
      <c r="D77" s="1" t="s">
        <v>305</v>
      </c>
      <c r="E77" s="4"/>
      <c r="F77" s="4"/>
      <c r="G77" s="4"/>
      <c r="H77" s="4"/>
      <c r="I77" s="4"/>
    </row>
    <row r="78" spans="3:9" s="1" customFormat="1" ht="12.75" hidden="1" outlineLevel="3">
      <c r="C78" s="3"/>
      <c r="D78" s="1" t="s">
        <v>306</v>
      </c>
      <c r="E78" s="4"/>
      <c r="F78" s="4"/>
      <c r="G78" s="4"/>
      <c r="H78" s="4"/>
      <c r="I78" s="4"/>
    </row>
    <row r="79" spans="3:9" s="1" customFormat="1" ht="12.75" hidden="1" outlineLevel="3">
      <c r="C79" s="3"/>
      <c r="D79" s="1" t="s">
        <v>307</v>
      </c>
      <c r="E79" s="5"/>
      <c r="F79" s="5"/>
      <c r="G79" s="5"/>
      <c r="H79" s="5"/>
      <c r="I79" s="5"/>
    </row>
    <row r="80" spans="3:9" s="1" customFormat="1" ht="12.75" hidden="1" outlineLevel="2">
      <c r="C80" s="3" t="s">
        <v>15</v>
      </c>
      <c r="E80" s="8">
        <f>SUM(E77:E79)</f>
        <v>0</v>
      </c>
      <c r="F80" s="8">
        <f>SUM(F77:F79)</f>
        <v>0</v>
      </c>
      <c r="G80" s="8">
        <f>SUM(G77:G79)</f>
        <v>0</v>
      </c>
      <c r="H80" s="8">
        <f>SUM(H77:H79)</f>
        <v>0</v>
      </c>
      <c r="I80" s="8">
        <f>SUM(I77:I79)</f>
        <v>0</v>
      </c>
    </row>
    <row r="81" spans="2:9" s="1" customFormat="1" ht="12.75" hidden="1" outlineLevel="1">
      <c r="B81" s="1" t="s">
        <v>314</v>
      </c>
      <c r="D81" s="3"/>
      <c r="E81" s="4">
        <f>E70+E75+E80</f>
        <v>0</v>
      </c>
      <c r="F81" s="4">
        <f>F70+F75+F80</f>
        <v>0</v>
      </c>
      <c r="G81" s="4">
        <f>G70+G75+G80</f>
        <v>0</v>
      </c>
      <c r="H81" s="4">
        <f>H70+H75+H80</f>
        <v>0</v>
      </c>
      <c r="I81" s="4">
        <f>I70+I75+I80</f>
        <v>0</v>
      </c>
    </row>
    <row r="82" spans="4:9" s="1" customFormat="1" ht="12.75" hidden="1" outlineLevel="1">
      <c r="D82" s="3"/>
      <c r="E82" s="4"/>
      <c r="F82" s="4"/>
      <c r="G82" s="4"/>
      <c r="H82" s="4"/>
      <c r="I82" s="4"/>
    </row>
    <row r="83" spans="2:9" s="1" customFormat="1" ht="12.75" collapsed="1">
      <c r="B83" s="2" t="s">
        <v>3</v>
      </c>
      <c r="C83" s="2"/>
      <c r="E83" s="2"/>
      <c r="F83" s="2"/>
      <c r="G83" s="2"/>
      <c r="H83" s="2"/>
      <c r="I83" s="2"/>
    </row>
    <row r="84" spans="4:9" s="1" customFormat="1" ht="12.75" hidden="1" outlineLevel="1">
      <c r="D84" s="3">
        <v>100</v>
      </c>
      <c r="E84" s="4">
        <f>E25*E39</f>
        <v>240000</v>
      </c>
      <c r="F84" s="4">
        <f>F25*F39</f>
        <v>750000</v>
      </c>
      <c r="G84" s="4">
        <f>G25*G39</f>
        <v>1530000</v>
      </c>
      <c r="H84" s="4"/>
      <c r="I84" s="4"/>
    </row>
    <row r="85" spans="4:9" s="1" customFormat="1" ht="12.75" hidden="1" outlineLevel="1">
      <c r="D85" s="3">
        <v>200</v>
      </c>
      <c r="E85" s="4"/>
      <c r="F85" s="4"/>
      <c r="G85" s="4"/>
      <c r="H85" s="4">
        <f>H26*H44</f>
        <v>2500000</v>
      </c>
      <c r="I85" s="4">
        <f>I26*I44</f>
        <v>3750000</v>
      </c>
    </row>
    <row r="86" spans="4:9" s="1" customFormat="1" ht="12.75" hidden="1" outlineLevel="1">
      <c r="D86" s="3">
        <v>1005</v>
      </c>
      <c r="E86" s="4">
        <f>E27*E49</f>
        <v>233800</v>
      </c>
      <c r="F86" s="4">
        <f>F27*F49</f>
        <v>642950</v>
      </c>
      <c r="G86" s="4">
        <f>G27*G49</f>
        <v>1461250</v>
      </c>
      <c r="H86" s="4">
        <f>H27*H49</f>
        <v>2279550</v>
      </c>
      <c r="I86" s="4">
        <f>I27*I49</f>
        <v>3390100</v>
      </c>
    </row>
    <row r="87" spans="4:9" s="1" customFormat="1" ht="12.75" hidden="1" outlineLevel="1">
      <c r="D87" s="3">
        <v>1010</v>
      </c>
      <c r="E87" s="4">
        <f>E28*E54</f>
        <v>313800</v>
      </c>
      <c r="F87" s="4">
        <f>F28*F54</f>
        <v>706050</v>
      </c>
      <c r="G87" s="4">
        <f>G28*G54</f>
        <v>1647450</v>
      </c>
      <c r="H87" s="4">
        <f>H28*H54</f>
        <v>2745750</v>
      </c>
      <c r="I87" s="4">
        <f>I28*I54</f>
        <v>4550100</v>
      </c>
    </row>
    <row r="88" spans="4:9" s="1" customFormat="1" ht="12.75" hidden="1" outlineLevel="1">
      <c r="D88" s="3">
        <v>1050</v>
      </c>
      <c r="E88" s="4"/>
      <c r="F88" s="4">
        <f>F29*F59</f>
        <v>176900</v>
      </c>
      <c r="G88" s="4">
        <f>G29*G59</f>
        <v>796050</v>
      </c>
      <c r="H88" s="4">
        <f>H29*H59</f>
        <v>2034350</v>
      </c>
      <c r="I88" s="4">
        <f>I29*I59</f>
        <v>4599400</v>
      </c>
    </row>
    <row r="89" spans="4:9" s="1" customFormat="1" ht="12.75" hidden="1" outlineLevel="1">
      <c r="D89" s="3">
        <v>2000</v>
      </c>
      <c r="E89" s="5">
        <f>E30*E64</f>
        <v>1061400</v>
      </c>
      <c r="F89" s="5">
        <f>F30*F64</f>
        <v>4424550</v>
      </c>
      <c r="G89" s="5">
        <f>G30*G64</f>
        <v>7374250</v>
      </c>
      <c r="H89" s="5">
        <f>H30*H64</f>
        <v>11685350</v>
      </c>
      <c r="I89" s="5">
        <f>I30*I64</f>
        <v>16904050</v>
      </c>
    </row>
    <row r="90" spans="3:9" s="1" customFormat="1" ht="12.75" collapsed="1">
      <c r="C90" s="3" t="s">
        <v>269</v>
      </c>
      <c r="E90" s="21">
        <f>SUM(E84:E89)</f>
        <v>1849000</v>
      </c>
      <c r="F90" s="21">
        <f>SUM(F84:F89)</f>
        <v>6700450</v>
      </c>
      <c r="G90" s="21">
        <f>SUM(G84:G89)</f>
        <v>12809000</v>
      </c>
      <c r="H90" s="21">
        <f>SUM(H84:H89)</f>
        <v>21245000</v>
      </c>
      <c r="I90" s="21">
        <f>SUM(I84:I89)</f>
        <v>33193650</v>
      </c>
    </row>
    <row r="91" spans="3:9" s="1" customFormat="1" ht="12.75" hidden="1" outlineLevel="1">
      <c r="C91" s="3" t="s">
        <v>316</v>
      </c>
      <c r="E91" s="4">
        <f>CM_Pricing*E70</f>
        <v>0</v>
      </c>
      <c r="F91" s="4">
        <f>CM_Pricing*F70</f>
        <v>0</v>
      </c>
      <c r="G91" s="4">
        <f>CM_Pricing*G70</f>
        <v>0</v>
      </c>
      <c r="H91" s="4">
        <f>CM_Pricing*H70</f>
        <v>0</v>
      </c>
      <c r="I91" s="4">
        <f>CM_Pricing*I70</f>
        <v>0</v>
      </c>
    </row>
    <row r="92" spans="3:9" s="1" customFormat="1" ht="12.75" hidden="1" outlineLevel="1">
      <c r="C92" s="3" t="s">
        <v>14</v>
      </c>
      <c r="E92" s="4">
        <f>EC_Pricing*E75</f>
        <v>0</v>
      </c>
      <c r="F92" s="4">
        <f>EC_Pricing*F75</f>
        <v>0</v>
      </c>
      <c r="G92" s="4">
        <f>EC_Pricing*G75</f>
        <v>0</v>
      </c>
      <c r="H92" s="4">
        <f>EC_Pricing*H75</f>
        <v>0</v>
      </c>
      <c r="I92" s="4">
        <f>EC_Pricing*I75</f>
        <v>0</v>
      </c>
    </row>
    <row r="93" spans="3:9" s="1" customFormat="1" ht="12.75" hidden="1" outlineLevel="1">
      <c r="C93" s="3" t="s">
        <v>15</v>
      </c>
      <c r="E93" s="4">
        <f>Pur_Pricing*E80</f>
        <v>0</v>
      </c>
      <c r="F93" s="4">
        <f>Pur_Pricing*F80</f>
        <v>0</v>
      </c>
      <c r="G93" s="4">
        <f>Pur_Pricing*G80</f>
        <v>0</v>
      </c>
      <c r="H93" s="4">
        <f>Pur_Pricing*H80</f>
        <v>0</v>
      </c>
      <c r="I93" s="4">
        <f>Pur_Pricing*I80</f>
        <v>0</v>
      </c>
    </row>
    <row r="94" spans="3:9" s="1" customFormat="1" ht="12.75" collapsed="1">
      <c r="C94" s="1" t="s">
        <v>4</v>
      </c>
      <c r="E94" s="4"/>
      <c r="F94" s="4">
        <f>0.1*E96</f>
        <v>184900</v>
      </c>
      <c r="G94" s="4">
        <f>0.12*(E96+F96)</f>
        <v>1088060.4</v>
      </c>
      <c r="H94" s="4">
        <f>0.15*(E96+F96+G96)</f>
        <v>3689448.15</v>
      </c>
      <c r="I94" s="4">
        <f>0.15*(E96+F96+G96+H96)</f>
        <v>8093716.0395</v>
      </c>
    </row>
    <row r="95" spans="3:9" s="1" customFormat="1" ht="12.75">
      <c r="C95" s="1" t="s">
        <v>5</v>
      </c>
      <c r="E95" s="5"/>
      <c r="F95" s="5">
        <f>0.18*E96</f>
        <v>332820</v>
      </c>
      <c r="G95" s="5">
        <f>0.18*(E96+F96)</f>
        <v>1632090.5999999999</v>
      </c>
      <c r="H95" s="5">
        <f>0.18*(E96+F96+G96)</f>
        <v>4427337.78</v>
      </c>
      <c r="I95" s="5">
        <f>0.18*(E96+F96+G96+H96)</f>
        <v>9712459.247399999</v>
      </c>
    </row>
    <row r="96" spans="4:9" s="1" customFormat="1" ht="12.75">
      <c r="D96" s="29" t="s">
        <v>12</v>
      </c>
      <c r="E96" s="4">
        <f>SUM(E90:E95)</f>
        <v>1849000</v>
      </c>
      <c r="F96" s="4">
        <f>SUM(F90:F95)</f>
        <v>7218170</v>
      </c>
      <c r="G96" s="4">
        <f>SUM(G90:G95)</f>
        <v>15529151</v>
      </c>
      <c r="H96" s="4">
        <f>SUM(H90:H95)</f>
        <v>29361785.93</v>
      </c>
      <c r="I96" s="4">
        <f>SUM(I90:I95)</f>
        <v>50999825.2869</v>
      </c>
    </row>
    <row r="97" spans="3:9" s="1" customFormat="1" ht="12.75" hidden="1" outlineLevel="1">
      <c r="C97" s="3"/>
      <c r="E97" s="4"/>
      <c r="F97" s="4"/>
      <c r="G97" s="4"/>
      <c r="H97" s="4"/>
      <c r="I97" s="4"/>
    </row>
    <row r="98" spans="3:9" s="1" customFormat="1" ht="12.75" hidden="1" outlineLevel="1">
      <c r="C98" s="3"/>
      <c r="D98" s="59" t="s">
        <v>292</v>
      </c>
      <c r="E98" s="64">
        <f aca="true" t="shared" si="3" ref="E98:I100">(WK100_Pricing*E36)+(WK200_Pricing*E41)+(WK1005_Pricing*E46)+(WK1010_Pricing*E51)+(WK1050_Pricing*E56)+(WK2000_Pricing*E61)+(CM_Pricing*E67)+(EC_Pricing*E72)+(Pur_Pricing*E77)</f>
        <v>1386750</v>
      </c>
      <c r="F98" s="64">
        <f t="shared" si="3"/>
        <v>3971100</v>
      </c>
      <c r="G98" s="64">
        <f t="shared" si="3"/>
        <v>7708750</v>
      </c>
      <c r="H98" s="64">
        <f t="shared" si="3"/>
        <v>11242800</v>
      </c>
      <c r="I98" s="64">
        <f t="shared" si="3"/>
        <v>16963600</v>
      </c>
    </row>
    <row r="99" spans="3:9" s="1" customFormat="1" ht="12.75" hidden="1" outlineLevel="1">
      <c r="C99" s="3"/>
      <c r="D99" s="59" t="s">
        <v>293</v>
      </c>
      <c r="E99" s="64">
        <f t="shared" si="3"/>
        <v>88450</v>
      </c>
      <c r="F99" s="64">
        <f t="shared" si="3"/>
        <v>1541400</v>
      </c>
      <c r="G99" s="64">
        <f t="shared" si="3"/>
        <v>2492100</v>
      </c>
      <c r="H99" s="64">
        <f t="shared" si="3"/>
        <v>2949700</v>
      </c>
      <c r="I99" s="64">
        <f t="shared" si="3"/>
        <v>4084200</v>
      </c>
    </row>
    <row r="100" spans="3:9" s="1" customFormat="1" ht="12.75" hidden="1" outlineLevel="1">
      <c r="C100" s="3"/>
      <c r="D100" s="59" t="s">
        <v>294</v>
      </c>
      <c r="E100" s="65">
        <f t="shared" si="3"/>
        <v>373800</v>
      </c>
      <c r="F100" s="65">
        <f t="shared" si="3"/>
        <v>1187950</v>
      </c>
      <c r="G100" s="65">
        <f t="shared" si="3"/>
        <v>2608150</v>
      </c>
      <c r="H100" s="65">
        <f t="shared" si="3"/>
        <v>7052500</v>
      </c>
      <c r="I100" s="65">
        <f t="shared" si="3"/>
        <v>12145850</v>
      </c>
    </row>
    <row r="101" spans="3:9" s="1" customFormat="1" ht="12.75" hidden="1" outlineLevel="1">
      <c r="C101" s="59" t="s">
        <v>312</v>
      </c>
      <c r="E101" s="64">
        <f>SUM(E98:E100)</f>
        <v>1849000</v>
      </c>
      <c r="F101" s="64">
        <f>SUM(F98:F100)</f>
        <v>6700450</v>
      </c>
      <c r="G101" s="64">
        <f>SUM(G98:G100)</f>
        <v>12809000</v>
      </c>
      <c r="H101" s="64">
        <f>SUM(H98:H100)</f>
        <v>21245000</v>
      </c>
      <c r="I101" s="64">
        <f>SUM(I98:I100)</f>
        <v>33193650</v>
      </c>
    </row>
    <row r="102" spans="3:9" s="1" customFormat="1" ht="12.75" hidden="1" outlineLevel="1">
      <c r="C102" s="3"/>
      <c r="D102" s="59" t="s">
        <v>4</v>
      </c>
      <c r="E102" s="64">
        <f aca="true" t="shared" si="4" ref="E102:I103">E94</f>
        <v>0</v>
      </c>
      <c r="F102" s="64">
        <f t="shared" si="4"/>
        <v>184900</v>
      </c>
      <c r="G102" s="64">
        <f t="shared" si="4"/>
        <v>1088060.4</v>
      </c>
      <c r="H102" s="64">
        <f t="shared" si="4"/>
        <v>3689448.15</v>
      </c>
      <c r="I102" s="64">
        <f t="shared" si="4"/>
        <v>8093716.0395</v>
      </c>
    </row>
    <row r="103" spans="3:9" s="1" customFormat="1" ht="12.75" hidden="1" outlineLevel="1">
      <c r="C103" s="3"/>
      <c r="D103" s="59" t="s">
        <v>5</v>
      </c>
      <c r="E103" s="65">
        <f t="shared" si="4"/>
        <v>0</v>
      </c>
      <c r="F103" s="65">
        <f t="shared" si="4"/>
        <v>332820</v>
      </c>
      <c r="G103" s="65">
        <f t="shared" si="4"/>
        <v>1632090.5999999999</v>
      </c>
      <c r="H103" s="65">
        <f t="shared" si="4"/>
        <v>4427337.78</v>
      </c>
      <c r="I103" s="65">
        <f t="shared" si="4"/>
        <v>9712459.247399999</v>
      </c>
    </row>
    <row r="104" spans="3:9" s="1" customFormat="1" ht="12.75" hidden="1" outlineLevel="1">
      <c r="C104" s="63" t="s">
        <v>313</v>
      </c>
      <c r="D104" s="59"/>
      <c r="E104" s="64">
        <f>SUM(E101:E103)</f>
        <v>1849000</v>
      </c>
      <c r="F104" s="64">
        <f>SUM(F101:F103)</f>
        <v>7218170</v>
      </c>
      <c r="G104" s="64">
        <f>SUM(G101:G103)</f>
        <v>15529151</v>
      </c>
      <c r="H104" s="64">
        <f>SUM(H101:H103)</f>
        <v>29361785.93</v>
      </c>
      <c r="I104" s="64">
        <f>SUM(I101:I103)</f>
        <v>50999825.2869</v>
      </c>
    </row>
    <row r="105" spans="3:9" s="1" customFormat="1" ht="12.75" collapsed="1">
      <c r="C105" s="3"/>
      <c r="D105" s="59"/>
      <c r="E105" s="4"/>
      <c r="F105" s="4"/>
      <c r="G105" s="4"/>
      <c r="H105" s="4"/>
      <c r="I105" s="4"/>
    </row>
    <row r="106" spans="2:3" s="1" customFormat="1" ht="12.75">
      <c r="B106" s="2" t="s">
        <v>6</v>
      </c>
      <c r="C106" s="2"/>
    </row>
    <row r="107" spans="4:9" s="1" customFormat="1" ht="12.75" hidden="1" outlineLevel="1">
      <c r="D107" s="1" t="s">
        <v>16</v>
      </c>
      <c r="E107" s="4">
        <f>(250000*4)+((250000*0.25)*E61-6)</f>
        <v>1562494</v>
      </c>
      <c r="F107" s="4">
        <f>(250000*0.25)*F61</f>
        <v>1250000</v>
      </c>
      <c r="G107" s="4">
        <f>(250000*0.25)*G61</f>
        <v>2187500</v>
      </c>
      <c r="H107" s="4">
        <f>(250000*0.25)*H61</f>
        <v>3437500</v>
      </c>
      <c r="I107" s="4">
        <f>(250000*0.25)*I61</f>
        <v>4687500</v>
      </c>
    </row>
    <row r="108" spans="4:9" s="1" customFormat="1" ht="12.75" hidden="1" outlineLevel="1">
      <c r="D108" s="1" t="s">
        <v>18</v>
      </c>
      <c r="E108" s="4"/>
      <c r="F108" s="4"/>
      <c r="G108" s="4"/>
      <c r="H108" s="4"/>
      <c r="I108" s="4"/>
    </row>
    <row r="109" spans="4:9" s="1" customFormat="1" ht="12.75" hidden="1" outlineLevel="1">
      <c r="D109" s="1" t="s">
        <v>17</v>
      </c>
      <c r="E109" s="5">
        <f>250000*E63</f>
        <v>500000</v>
      </c>
      <c r="F109" s="5">
        <f>250000*F63</f>
        <v>1750000</v>
      </c>
      <c r="G109" s="5">
        <f>250000*G63</f>
        <v>3000000</v>
      </c>
      <c r="H109" s="5">
        <f>250000*H63</f>
        <v>5500000</v>
      </c>
      <c r="I109" s="5">
        <f>250000*I63</f>
        <v>9500000</v>
      </c>
    </row>
    <row r="110" spans="3:9" s="1" customFormat="1" ht="12.75" collapsed="1">
      <c r="C110" s="1" t="s">
        <v>7</v>
      </c>
      <c r="E110" s="4">
        <f>SUM(E107:E109)</f>
        <v>2062494</v>
      </c>
      <c r="F110" s="4">
        <f>SUM(F107:F109)</f>
        <v>3000000</v>
      </c>
      <c r="G110" s="4">
        <f>SUM(G107:G109)</f>
        <v>5187500</v>
      </c>
      <c r="H110" s="4">
        <f>SUM(H107:H109)</f>
        <v>8937500</v>
      </c>
      <c r="I110" s="4">
        <f>SUM(I107:I109)</f>
        <v>14187500</v>
      </c>
    </row>
    <row r="111" spans="3:9" s="1" customFormat="1" ht="12.75">
      <c r="C111" s="1" t="s">
        <v>8</v>
      </c>
      <c r="E111" s="5">
        <v>250000</v>
      </c>
      <c r="F111" s="5">
        <v>375000</v>
      </c>
      <c r="G111" s="5">
        <v>650000</v>
      </c>
      <c r="H111" s="5">
        <v>800000</v>
      </c>
      <c r="I111" s="5">
        <v>1100000</v>
      </c>
    </row>
    <row r="112" spans="2:9" s="1" customFormat="1" ht="12.75">
      <c r="B112" s="1" t="s">
        <v>19</v>
      </c>
      <c r="E112" s="4">
        <f>E110+E111</f>
        <v>2312494</v>
      </c>
      <c r="F112" s="4">
        <f>F110+F111</f>
        <v>3375000</v>
      </c>
      <c r="G112" s="4">
        <f>G110+G111</f>
        <v>5837500</v>
      </c>
      <c r="H112" s="4">
        <f>H110+H111</f>
        <v>9737500</v>
      </c>
      <c r="I112" s="4">
        <f>I110+I111</f>
        <v>15287500</v>
      </c>
    </row>
    <row r="113" spans="5:9" s="1" customFormat="1" ht="12.75">
      <c r="E113" s="9"/>
      <c r="F113" s="9"/>
      <c r="G113" s="9"/>
      <c r="H113" s="9"/>
      <c r="I113" s="9"/>
    </row>
    <row r="114" spans="4:9" s="1" customFormat="1" ht="13.5" thickBot="1">
      <c r="D114" s="29" t="s">
        <v>20</v>
      </c>
      <c r="E114" s="47">
        <f>E96+E112</f>
        <v>4161494</v>
      </c>
      <c r="F114" s="47">
        <f>F96+F112</f>
        <v>10593170</v>
      </c>
      <c r="G114" s="47">
        <f>G96+G112</f>
        <v>21366651</v>
      </c>
      <c r="H114" s="47">
        <f>H96+H112</f>
        <v>39099285.93</v>
      </c>
      <c r="I114" s="47">
        <f>I96+I112</f>
        <v>66287325.2869</v>
      </c>
    </row>
    <row r="115" spans="5:9" s="1" customFormat="1" ht="13.5" thickTop="1">
      <c r="E115" s="4"/>
      <c r="F115" s="4"/>
      <c r="G115" s="4"/>
      <c r="H115" s="4"/>
      <c r="I115" s="4"/>
    </row>
    <row r="116" spans="1:9" s="1" customFormat="1" ht="12.75">
      <c r="A116" s="2" t="s">
        <v>25</v>
      </c>
      <c r="E116" s="4"/>
      <c r="F116" s="4"/>
      <c r="G116" s="4"/>
      <c r="H116" s="4"/>
      <c r="I116" s="4"/>
    </row>
    <row r="117" spans="4:9" s="1" customFormat="1" ht="12.75" hidden="1" outlineLevel="1">
      <c r="D117" s="1" t="s">
        <v>291</v>
      </c>
      <c r="E117" s="4">
        <f>(E9+E10)*(E65-E39)</f>
        <v>69000</v>
      </c>
      <c r="F117" s="4">
        <f>(F9+F10)*(F65-F39)</f>
        <v>210450</v>
      </c>
      <c r="G117" s="4">
        <f>(G9+G10)*(G65-G39)</f>
        <v>414000</v>
      </c>
      <c r="H117" s="4">
        <f>(H9+H10)*(H65-H39)</f>
        <v>862500</v>
      </c>
      <c r="I117" s="4">
        <f>(I9+I10)*(I65-I39)</f>
        <v>1352400</v>
      </c>
    </row>
    <row r="118" spans="4:9" s="1" customFormat="1" ht="12.75" hidden="1" outlineLevel="1">
      <c r="D118" s="1" t="s">
        <v>22</v>
      </c>
      <c r="E118" s="4">
        <f>E98*0.35</f>
        <v>485362.49999999994</v>
      </c>
      <c r="F118" s="4">
        <f aca="true" t="shared" si="5" ref="F118:I119">F98*0.35</f>
        <v>1389885</v>
      </c>
      <c r="G118" s="4">
        <f t="shared" si="5"/>
        <v>2698062.5</v>
      </c>
      <c r="H118" s="4">
        <f t="shared" si="5"/>
        <v>3934979.9999999995</v>
      </c>
      <c r="I118" s="4">
        <f t="shared" si="5"/>
        <v>5937260</v>
      </c>
    </row>
    <row r="119" spans="4:9" s="1" customFormat="1" ht="12.75" hidden="1" outlineLevel="1">
      <c r="D119" s="1" t="s">
        <v>23</v>
      </c>
      <c r="E119" s="4">
        <f>E99*0.35</f>
        <v>30957.499999999996</v>
      </c>
      <c r="F119" s="4">
        <f t="shared" si="5"/>
        <v>539490</v>
      </c>
      <c r="G119" s="4">
        <f t="shared" si="5"/>
        <v>872235</v>
      </c>
      <c r="H119" s="4">
        <f t="shared" si="5"/>
        <v>1032394.9999999999</v>
      </c>
      <c r="I119" s="4">
        <f t="shared" si="5"/>
        <v>1429470</v>
      </c>
    </row>
    <row r="120" spans="4:11" s="1" customFormat="1" ht="12.75" hidden="1" outlineLevel="1">
      <c r="D120" s="1" t="s">
        <v>24</v>
      </c>
      <c r="E120" s="5">
        <f>(E98*0.06)+(E100*0.15)</f>
        <v>139275</v>
      </c>
      <c r="F120" s="5">
        <f>((F98+F99)*0.06)+(F100*0.12)</f>
        <v>473304</v>
      </c>
      <c r="G120" s="5">
        <f>((G98+G99)*0.06)+(G100*0.12)</f>
        <v>925029</v>
      </c>
      <c r="H120" s="5">
        <f>((H98+H99)*0.06)+(H100*0.12)</f>
        <v>1697850</v>
      </c>
      <c r="I120" s="5">
        <f>((I98+I99)*0.06)+(I100*0.12)</f>
        <v>2720370</v>
      </c>
      <c r="K120" s="1" t="s">
        <v>295</v>
      </c>
    </row>
    <row r="121" spans="3:9" s="1" customFormat="1" ht="12.75" collapsed="1">
      <c r="C121" s="1" t="s">
        <v>21</v>
      </c>
      <c r="E121" s="4">
        <f>SUM(E117:E120)</f>
        <v>724595</v>
      </c>
      <c r="F121" s="4">
        <f>SUM(F117:F120)</f>
        <v>2613129</v>
      </c>
      <c r="G121" s="4">
        <f>SUM(G117:G120)</f>
        <v>4909326.5</v>
      </c>
      <c r="H121" s="4">
        <f>SUM(H117:H120)</f>
        <v>7527725</v>
      </c>
      <c r="I121" s="4">
        <f>SUM(I117:I120)</f>
        <v>11439500</v>
      </c>
    </row>
    <row r="122" spans="4:9" s="1" customFormat="1" ht="12.75" hidden="1" outlineLevel="1">
      <c r="D122" s="1" t="s">
        <v>19</v>
      </c>
      <c r="E122" s="4">
        <f>'Dept Budget'!E126</f>
        <v>795343.6559139785</v>
      </c>
      <c r="F122" s="4">
        <f>'Dept Budget'!F126</f>
        <v>1932976.153846154</v>
      </c>
      <c r="G122" s="4">
        <f>'Dept Budget'!G126</f>
        <v>2531216.782608696</v>
      </c>
      <c r="H122" s="4">
        <f>'Dept Budget'!H126</f>
        <v>3861753.6823529415</v>
      </c>
      <c r="I122" s="4">
        <f>'Dept Budget'!I126</f>
        <v>5113317.489999999</v>
      </c>
    </row>
    <row r="123" spans="4:9" s="1" customFormat="1" ht="12.75" hidden="1" outlineLevel="1">
      <c r="D123" s="1" t="s">
        <v>348</v>
      </c>
      <c r="E123" s="5">
        <f>(E109+E111)*0.25</f>
        <v>187500</v>
      </c>
      <c r="F123" s="5">
        <f>(F109+F111)*0.25</f>
        <v>531250</v>
      </c>
      <c r="G123" s="5">
        <f>(G109+G111)*0.25</f>
        <v>912500</v>
      </c>
      <c r="H123" s="5">
        <f>(H109+H111)*0.25</f>
        <v>1575000</v>
      </c>
      <c r="I123" s="5">
        <f>(I109+I111)*0.25</f>
        <v>2650000</v>
      </c>
    </row>
    <row r="124" spans="3:9" s="1" customFormat="1" ht="12.75" collapsed="1">
      <c r="C124" s="1" t="s">
        <v>26</v>
      </c>
      <c r="E124" s="4">
        <f>E122+E123</f>
        <v>982843.6559139785</v>
      </c>
      <c r="F124" s="4">
        <f>F122+F123</f>
        <v>2464226.153846154</v>
      </c>
      <c r="G124" s="4">
        <f>G122+G123</f>
        <v>3443716.782608696</v>
      </c>
      <c r="H124" s="4">
        <f>H122+H123</f>
        <v>5436753.6823529415</v>
      </c>
      <c r="I124" s="4">
        <f>I122+I123</f>
        <v>7763317.489999999</v>
      </c>
    </row>
    <row r="125" spans="3:9" s="1" customFormat="1" ht="12.75">
      <c r="C125" s="1" t="s">
        <v>27</v>
      </c>
      <c r="E125" s="4">
        <f>'Dept Budget'!E33</f>
        <v>1616473.935483871</v>
      </c>
      <c r="F125" s="4">
        <f>'Dept Budget'!F33</f>
        <v>3787094.0256410255</v>
      </c>
      <c r="G125" s="4">
        <f>'Dept Budget'!G33</f>
        <v>4313280.25</v>
      </c>
      <c r="H125" s="4">
        <f>'Dept Budget'!H33</f>
        <v>5801911.04367647</v>
      </c>
      <c r="I125" s="4">
        <f>'Dept Budget'!I33</f>
        <v>6269718.3876249995</v>
      </c>
    </row>
    <row r="126" spans="3:9" s="1" customFormat="1" ht="12.75">
      <c r="C126" s="1" t="s">
        <v>28</v>
      </c>
      <c r="E126" s="4">
        <f>'Dept Budget'!E95</f>
        <v>1697547.2258064516</v>
      </c>
      <c r="F126" s="4">
        <f>'Dept Budget'!F95</f>
        <v>4097495.230769231</v>
      </c>
      <c r="G126" s="4">
        <f>'Dept Budget'!G95</f>
        <v>5228409.060869565</v>
      </c>
      <c r="H126" s="4">
        <f>'Dept Budget'!H95</f>
        <v>8574584.89882353</v>
      </c>
      <c r="I126" s="4">
        <f>'Dept Budget'!I95</f>
        <v>13453581.152</v>
      </c>
    </row>
    <row r="127" spans="3:9" s="1" customFormat="1" ht="12.75">
      <c r="C127" s="1" t="s">
        <v>29</v>
      </c>
      <c r="E127" s="5">
        <f>'Dept Budget'!E64</f>
        <v>855334.5161290322</v>
      </c>
      <c r="F127" s="5">
        <f>'Dept Budget'!F64</f>
        <v>1748518.923076923</v>
      </c>
      <c r="G127" s="5">
        <f>'Dept Budget'!G64</f>
        <v>2358206.9565217393</v>
      </c>
      <c r="H127" s="5">
        <f>'Dept Budget'!H64</f>
        <v>3616271.1176470583</v>
      </c>
      <c r="I127" s="5">
        <f>'Dept Budget'!I64</f>
        <v>4022524.45</v>
      </c>
    </row>
    <row r="128" spans="4:9" s="1" customFormat="1" ht="13.5" thickBot="1">
      <c r="D128" s="29" t="s">
        <v>30</v>
      </c>
      <c r="E128" s="47">
        <f>E121+E124+E125+E126+E127</f>
        <v>5876794.333333334</v>
      </c>
      <c r="F128" s="47">
        <f>F121+F124+F125+F126+F127</f>
        <v>14710463.333333336</v>
      </c>
      <c r="G128" s="47">
        <f>G121+G124+G125+G126+G127</f>
        <v>20252939.55</v>
      </c>
      <c r="H128" s="47">
        <f>H121+H124+H125+H126+H127</f>
        <v>30957245.7425</v>
      </c>
      <c r="I128" s="47">
        <f>I121+I124+I125+I126+I127</f>
        <v>42948641.479625</v>
      </c>
    </row>
    <row r="129" spans="5:9" s="1" customFormat="1" ht="13.5" thickTop="1">
      <c r="E129" s="5"/>
      <c r="F129" s="5"/>
      <c r="G129" s="5"/>
      <c r="H129" s="5"/>
      <c r="I129" s="5"/>
    </row>
    <row r="130" spans="2:9" s="1" customFormat="1" ht="12.75">
      <c r="B130" s="1" t="s">
        <v>31</v>
      </c>
      <c r="E130" s="4">
        <f>E114-E128</f>
        <v>-1715300.333333334</v>
      </c>
      <c r="F130" s="4">
        <f>F114-F128</f>
        <v>-4117293.333333336</v>
      </c>
      <c r="G130" s="4">
        <f>G114-G128</f>
        <v>1113711.4499999993</v>
      </c>
      <c r="H130" s="4">
        <f>H114-H128</f>
        <v>8142040.1875</v>
      </c>
      <c r="I130" s="4">
        <f>I114-I128</f>
        <v>23338683.807274997</v>
      </c>
    </row>
    <row r="131" spans="3:9" s="1" customFormat="1" ht="12.75">
      <c r="C131" s="1" t="s">
        <v>237</v>
      </c>
      <c r="E131" s="9"/>
      <c r="F131" s="5"/>
      <c r="G131" s="5"/>
      <c r="H131" s="5"/>
      <c r="I131" s="5"/>
    </row>
    <row r="132" spans="2:9" s="1" customFormat="1" ht="12.75">
      <c r="B132" s="1" t="s">
        <v>238</v>
      </c>
      <c r="E132" s="4">
        <f>E130+E131</f>
        <v>-1715300.333333334</v>
      </c>
      <c r="F132" s="4">
        <f>F130+F131</f>
        <v>-4117293.333333336</v>
      </c>
      <c r="G132" s="4">
        <f>G130+G131</f>
        <v>1113711.4499999993</v>
      </c>
      <c r="H132" s="4">
        <f>H130+H131</f>
        <v>8142040.1875</v>
      </c>
      <c r="I132" s="4">
        <f>I130+I131</f>
        <v>23338683.807274997</v>
      </c>
    </row>
    <row r="133" spans="3:9" s="1" customFormat="1" ht="12.75">
      <c r="C133" s="1" t="s">
        <v>329</v>
      </c>
      <c r="E133" s="5">
        <f>(E132&gt;0)*(E132*0.41)</f>
        <v>0</v>
      </c>
      <c r="F133" s="5">
        <f>(F132&gt;0)*(F132*0.41)</f>
        <v>0</v>
      </c>
      <c r="G133" s="5">
        <f>(G132&gt;0)*(G132*0.41)</f>
        <v>456621.6944999997</v>
      </c>
      <c r="H133" s="5">
        <f>(H132&gt;0)*(H132*0.41)</f>
        <v>3338236.4768749997</v>
      </c>
      <c r="I133" s="5">
        <f>(I132&gt;0)*(I132*0.41)</f>
        <v>9568860.360982748</v>
      </c>
    </row>
    <row r="134" spans="4:9" s="1" customFormat="1" ht="13.5" thickBot="1">
      <c r="D134" s="29" t="s">
        <v>239</v>
      </c>
      <c r="E134" s="47">
        <f>E132-E133</f>
        <v>-1715300.333333334</v>
      </c>
      <c r="F134" s="47">
        <f>F132-F133</f>
        <v>-4117293.333333336</v>
      </c>
      <c r="G134" s="47">
        <f>G132-G133</f>
        <v>657089.7554999995</v>
      </c>
      <c r="H134" s="47">
        <f>H132-H133</f>
        <v>4803803.710625</v>
      </c>
      <c r="I134" s="47">
        <f>I132-I133</f>
        <v>13769823.44629225</v>
      </c>
    </row>
    <row r="135" spans="5:9" s="1" customFormat="1" ht="13.5" thickTop="1">
      <c r="E135" s="4"/>
      <c r="F135" s="4"/>
      <c r="G135" s="4"/>
      <c r="H135" s="4"/>
      <c r="I135" s="4"/>
    </row>
    <row r="136" spans="5:9" s="1" customFormat="1" ht="12.75">
      <c r="E136" s="4"/>
      <c r="F136" s="4"/>
      <c r="G136" s="4"/>
      <c r="H136" s="4"/>
      <c r="I136" s="4"/>
    </row>
    <row r="137" spans="5:9" s="1" customFormat="1" ht="12.75">
      <c r="E137" s="4"/>
      <c r="F137" s="4"/>
      <c r="G137" s="4"/>
      <c r="H137" s="4"/>
      <c r="I137" s="4"/>
    </row>
    <row r="138" spans="5:9" s="1" customFormat="1" ht="12.75">
      <c r="E138" s="4"/>
      <c r="F138" s="4"/>
      <c r="G138" s="4"/>
      <c r="H138" s="4"/>
      <c r="I138" s="4"/>
    </row>
    <row r="139" spans="5:9" s="1" customFormat="1" ht="12.75">
      <c r="E139" s="4"/>
      <c r="F139" s="4"/>
      <c r="G139" s="4"/>
      <c r="H139" s="4"/>
      <c r="I139" s="4"/>
    </row>
    <row r="140" spans="5:9" s="1" customFormat="1" ht="12.75">
      <c r="E140" s="4"/>
      <c r="F140" s="4"/>
      <c r="G140" s="4"/>
      <c r="H140" s="4"/>
      <c r="I140" s="4"/>
    </row>
    <row r="141" spans="5:9" s="1" customFormat="1" ht="12.75">
      <c r="E141" s="4"/>
      <c r="F141" s="4"/>
      <c r="G141" s="4"/>
      <c r="H141" s="4"/>
      <c r="I141" s="4"/>
    </row>
    <row r="142" spans="5:9" s="1" customFormat="1" ht="12.75">
      <c r="E142" s="4"/>
      <c r="F142" s="4"/>
      <c r="G142" s="4"/>
      <c r="H142" s="4"/>
      <c r="I142" s="4"/>
    </row>
    <row r="143" spans="5:9" s="1" customFormat="1" ht="12.75">
      <c r="E143" s="4"/>
      <c r="F143" s="4"/>
      <c r="G143" s="4"/>
      <c r="H143" s="4"/>
      <c r="I143" s="4"/>
    </row>
    <row r="144" spans="5:9" s="1" customFormat="1" ht="12.75">
      <c r="E144" s="4"/>
      <c r="F144" s="4"/>
      <c r="G144" s="4"/>
      <c r="H144" s="4"/>
      <c r="I144" s="4"/>
    </row>
    <row r="145" spans="5:9" s="1" customFormat="1" ht="12.75">
      <c r="E145" s="4"/>
      <c r="F145" s="4"/>
      <c r="G145" s="4"/>
      <c r="H145" s="4"/>
      <c r="I145" s="4"/>
    </row>
    <row r="146" spans="5:9" s="1" customFormat="1" ht="12.75">
      <c r="E146" s="4"/>
      <c r="F146" s="4"/>
      <c r="G146" s="4"/>
      <c r="H146" s="4"/>
      <c r="I146" s="4"/>
    </row>
    <row r="147" spans="5:9" s="1" customFormat="1" ht="12.75">
      <c r="E147" s="4"/>
      <c r="F147" s="4"/>
      <c r="G147" s="4"/>
      <c r="H147" s="4"/>
      <c r="I147" s="4"/>
    </row>
    <row r="148" spans="5:9" s="1" customFormat="1" ht="12.75">
      <c r="E148" s="4"/>
      <c r="F148" s="4"/>
      <c r="G148" s="4"/>
      <c r="H148" s="4"/>
      <c r="I148" s="4"/>
    </row>
    <row r="149" spans="5:9" s="1" customFormat="1" ht="12.75">
      <c r="E149" s="4"/>
      <c r="F149" s="4"/>
      <c r="G149" s="4"/>
      <c r="H149" s="4"/>
      <c r="I149" s="4"/>
    </row>
    <row r="150" spans="5:9" s="1" customFormat="1" ht="12.75">
      <c r="E150" s="4"/>
      <c r="F150" s="4"/>
      <c r="G150" s="4"/>
      <c r="H150" s="4"/>
      <c r="I150" s="4"/>
    </row>
    <row r="151" spans="5:9" s="1" customFormat="1" ht="12.75">
      <c r="E151" s="4"/>
      <c r="F151" s="4"/>
      <c r="G151" s="4"/>
      <c r="H151" s="4"/>
      <c r="I151" s="4"/>
    </row>
    <row r="152" spans="5:9" s="1" customFormat="1" ht="12.75">
      <c r="E152" s="4"/>
      <c r="F152" s="4"/>
      <c r="G152" s="4"/>
      <c r="H152" s="4"/>
      <c r="I152" s="4"/>
    </row>
    <row r="153" spans="5:9" s="1" customFormat="1" ht="12.75">
      <c r="E153" s="4"/>
      <c r="F153" s="4"/>
      <c r="G153" s="4"/>
      <c r="H153" s="4"/>
      <c r="I153" s="4"/>
    </row>
    <row r="154" spans="5:9" s="1" customFormat="1" ht="12.75">
      <c r="E154" s="4"/>
      <c r="F154" s="4"/>
      <c r="G154" s="4"/>
      <c r="H154" s="4"/>
      <c r="I154" s="4"/>
    </row>
    <row r="155" spans="5:9" s="1" customFormat="1" ht="12.75">
      <c r="E155" s="4"/>
      <c r="F155" s="4"/>
      <c r="G155" s="4"/>
      <c r="H155" s="4"/>
      <c r="I155" s="4"/>
    </row>
    <row r="156" spans="5:9" s="1" customFormat="1" ht="12.75">
      <c r="E156" s="4"/>
      <c r="F156" s="4"/>
      <c r="G156" s="4"/>
      <c r="H156" s="4"/>
      <c r="I156" s="4"/>
    </row>
    <row r="157" spans="5:9" s="1" customFormat="1" ht="12.75">
      <c r="E157" s="4"/>
      <c r="F157" s="4"/>
      <c r="G157" s="4"/>
      <c r="H157" s="4"/>
      <c r="I157" s="4"/>
    </row>
    <row r="158" spans="5:9" s="1" customFormat="1" ht="12.75">
      <c r="E158" s="4"/>
      <c r="F158" s="4"/>
      <c r="G158" s="4"/>
      <c r="H158" s="4"/>
      <c r="I158" s="4"/>
    </row>
    <row r="159" spans="5:9" s="1" customFormat="1" ht="12.75">
      <c r="E159" s="4"/>
      <c r="F159" s="4"/>
      <c r="G159" s="4"/>
      <c r="H159" s="4"/>
      <c r="I159" s="4"/>
    </row>
    <row r="160" spans="5:9" s="1" customFormat="1" ht="12.75">
      <c r="E160" s="4"/>
      <c r="F160" s="4"/>
      <c r="G160" s="4"/>
      <c r="H160" s="4"/>
      <c r="I160" s="4"/>
    </row>
    <row r="161" spans="5:9" s="1" customFormat="1" ht="12.75">
      <c r="E161" s="4"/>
      <c r="F161" s="4"/>
      <c r="G161" s="4"/>
      <c r="H161" s="4"/>
      <c r="I161" s="4"/>
    </row>
    <row r="162" spans="5:9" s="1" customFormat="1" ht="12.75">
      <c r="E162" s="4"/>
      <c r="F162" s="4"/>
      <c r="G162" s="4"/>
      <c r="H162" s="4"/>
      <c r="I162" s="4"/>
    </row>
    <row r="163" spans="5:9" s="1" customFormat="1" ht="12.75">
      <c r="E163" s="4"/>
      <c r="F163" s="4"/>
      <c r="G163" s="4"/>
      <c r="H163" s="4"/>
      <c r="I163" s="4"/>
    </row>
    <row r="164" spans="5:9" s="1" customFormat="1" ht="12.75">
      <c r="E164" s="4"/>
      <c r="F164" s="4"/>
      <c r="G164" s="4"/>
      <c r="H164" s="4"/>
      <c r="I164" s="4"/>
    </row>
    <row r="165" spans="5:9" s="1" customFormat="1" ht="12.75">
      <c r="E165" s="4"/>
      <c r="F165" s="4"/>
      <c r="G165" s="4"/>
      <c r="H165" s="4"/>
      <c r="I165" s="4"/>
    </row>
    <row r="166" spans="5:9" s="1" customFormat="1" ht="12.75">
      <c r="E166" s="4"/>
      <c r="F166" s="4"/>
      <c r="G166" s="4"/>
      <c r="H166" s="4"/>
      <c r="I166" s="4"/>
    </row>
    <row r="167" spans="5:9" ht="12.75">
      <c r="E167" s="7"/>
      <c r="F167" s="7"/>
      <c r="G167" s="7"/>
      <c r="H167" s="7"/>
      <c r="I167" s="7"/>
    </row>
    <row r="168" spans="5:9" ht="12.75">
      <c r="E168" s="7"/>
      <c r="F168" s="7"/>
      <c r="G168" s="7"/>
      <c r="H168" s="7"/>
      <c r="I168" s="7"/>
    </row>
    <row r="169" spans="5:9" ht="12.75">
      <c r="E169" s="7"/>
      <c r="F169" s="7"/>
      <c r="G169" s="7"/>
      <c r="H169" s="7"/>
      <c r="I169" s="7"/>
    </row>
    <row r="170" spans="5:9" ht="12.75">
      <c r="E170" s="7"/>
      <c r="F170" s="7"/>
      <c r="G170" s="7"/>
      <c r="H170" s="7"/>
      <c r="I170" s="7"/>
    </row>
    <row r="171" spans="5:9" ht="12.75">
      <c r="E171" s="7"/>
      <c r="F171" s="7"/>
      <c r="G171" s="7"/>
      <c r="H171" s="7"/>
      <c r="I171" s="7"/>
    </row>
    <row r="172" spans="5:9" ht="12.75">
      <c r="E172" s="7"/>
      <c r="F172" s="7"/>
      <c r="G172" s="7"/>
      <c r="H172" s="7"/>
      <c r="I172" s="7"/>
    </row>
    <row r="173" spans="5:9" ht="12.75">
      <c r="E173" s="7"/>
      <c r="F173" s="7"/>
      <c r="G173" s="7"/>
      <c r="H173" s="7"/>
      <c r="I173" s="7"/>
    </row>
    <row r="174" spans="5:9" ht="12.75">
      <c r="E174" s="7"/>
      <c r="F174" s="7"/>
      <c r="G174" s="7"/>
      <c r="H174" s="7"/>
      <c r="I174" s="7"/>
    </row>
    <row r="175" spans="5:9" ht="12.75">
      <c r="E175" s="7"/>
      <c r="F175" s="7"/>
      <c r="G175" s="7"/>
      <c r="H175" s="7"/>
      <c r="I175" s="7"/>
    </row>
    <row r="176" spans="5:9" ht="12.75">
      <c r="E176" s="7"/>
      <c r="F176" s="7"/>
      <c r="G176" s="7"/>
      <c r="H176" s="7"/>
      <c r="I176" s="7"/>
    </row>
    <row r="177" spans="5:9" ht="12.75">
      <c r="E177" s="7"/>
      <c r="F177" s="7"/>
      <c r="G177" s="7"/>
      <c r="H177" s="7"/>
      <c r="I177" s="7"/>
    </row>
    <row r="178" spans="5:9" ht="12.75">
      <c r="E178" s="7"/>
      <c r="F178" s="7"/>
      <c r="G178" s="7"/>
      <c r="H178" s="7"/>
      <c r="I178" s="7"/>
    </row>
    <row r="179" spans="5:9" ht="12.75">
      <c r="E179" s="7"/>
      <c r="F179" s="7"/>
      <c r="G179" s="7"/>
      <c r="H179" s="7"/>
      <c r="I179" s="7"/>
    </row>
    <row r="180" spans="5:9" ht="12.75">
      <c r="E180" s="7"/>
      <c r="F180" s="7"/>
      <c r="G180" s="7"/>
      <c r="H180" s="7"/>
      <c r="I180" s="7"/>
    </row>
    <row r="181" spans="5:9" ht="12.75">
      <c r="E181" s="7"/>
      <c r="F181" s="7"/>
      <c r="G181" s="7"/>
      <c r="H181" s="7"/>
      <c r="I181" s="7"/>
    </row>
    <row r="182" spans="5:9" ht="12.75">
      <c r="E182" s="7"/>
      <c r="F182" s="7"/>
      <c r="G182" s="7"/>
      <c r="H182" s="7"/>
      <c r="I182" s="7"/>
    </row>
    <row r="183" spans="5:9" ht="12.75">
      <c r="E183" s="7"/>
      <c r="F183" s="7"/>
      <c r="G183" s="7"/>
      <c r="H183" s="7"/>
      <c r="I183" s="7"/>
    </row>
  </sheetData>
  <sheetProtection/>
  <printOptions/>
  <pageMargins left="0.75" right="0.75" top="1" bottom="1" header="0.5" footer="0.5"/>
  <pageSetup horizontalDpi="300" verticalDpi="300" orientation="portrait" r:id="rId3"/>
  <headerFooter alignWithMargins="0">
    <oddHeader>&amp;L
&amp;C&amp;"Arial,Bold"Proforma Profit and Loss</oddHeader>
    <oddFooter>&amp;CPage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G74"/>
  <sheetViews>
    <sheetView zoomScalePageLayoutView="0" workbookViewId="0" topLeftCell="A1">
      <selection activeCell="C5" sqref="C5:G6"/>
    </sheetView>
  </sheetViews>
  <sheetFormatPr defaultColWidth="9.140625" defaultRowHeight="12.75" outlineLevelRow="1"/>
  <cols>
    <col min="1" max="1" width="2.7109375" style="1" customWidth="1"/>
    <col min="2" max="2" width="34.421875" style="1" customWidth="1"/>
    <col min="3" max="7" width="10.7109375" style="0" customWidth="1"/>
  </cols>
  <sheetData>
    <row r="4" spans="1:2" ht="12.75">
      <c r="A4" s="30" t="s">
        <v>209</v>
      </c>
      <c r="B4" s="31"/>
    </row>
    <row r="5" spans="1:7" ht="12.75">
      <c r="A5" s="32"/>
      <c r="B5" s="33"/>
      <c r="C5" s="6">
        <v>2007</v>
      </c>
      <c r="D5" s="1"/>
      <c r="E5" s="1"/>
      <c r="F5" s="1"/>
      <c r="G5" s="1"/>
    </row>
    <row r="6" spans="1:7" ht="12.75">
      <c r="A6" s="32"/>
      <c r="B6" s="33"/>
      <c r="C6" s="6" t="s">
        <v>363</v>
      </c>
      <c r="D6" s="6">
        <f>C5+1</f>
        <v>2008</v>
      </c>
      <c r="E6" s="72">
        <f>D6+1</f>
        <v>2009</v>
      </c>
      <c r="F6" s="72">
        <f>E6+1</f>
        <v>2010</v>
      </c>
      <c r="G6" s="72">
        <f>F6+1</f>
        <v>2011</v>
      </c>
    </row>
    <row r="7" spans="1:7" ht="12.75">
      <c r="A7" s="34" t="s">
        <v>210</v>
      </c>
      <c r="C7" s="4"/>
      <c r="D7" s="4"/>
      <c r="E7" s="4"/>
      <c r="F7" s="4"/>
      <c r="G7" s="4"/>
    </row>
    <row r="8" spans="1:7" ht="12.75">
      <c r="A8" s="32"/>
      <c r="B8" s="33" t="s">
        <v>211</v>
      </c>
      <c r="C8" s="21">
        <f>'P&amp;L'!E134</f>
        <v>-1715300.333333334</v>
      </c>
      <c r="D8" s="21">
        <f>'P&amp;L'!F134</f>
        <v>-4117293.333333336</v>
      </c>
      <c r="E8" s="21">
        <f>'P&amp;L'!G134</f>
        <v>657089.7554999995</v>
      </c>
      <c r="F8" s="21">
        <f>'P&amp;L'!H134</f>
        <v>4803803.710625</v>
      </c>
      <c r="G8" s="21">
        <f>'P&amp;L'!I134</f>
        <v>13769823.44629225</v>
      </c>
    </row>
    <row r="9" spans="1:7" ht="12.75">
      <c r="A9" s="32"/>
      <c r="B9" s="33" t="s">
        <v>212</v>
      </c>
      <c r="C9" s="4"/>
      <c r="D9" s="4"/>
      <c r="E9" s="4"/>
      <c r="F9" s="4"/>
      <c r="G9" s="4"/>
    </row>
    <row r="10" spans="1:7" ht="12.75">
      <c r="A10" s="32"/>
      <c r="B10" s="33" t="s">
        <v>213</v>
      </c>
      <c r="C10" s="4"/>
      <c r="D10" s="4"/>
      <c r="E10" s="4"/>
      <c r="F10" s="4"/>
      <c r="G10" s="4"/>
    </row>
    <row r="11" spans="1:7" ht="12.75">
      <c r="A11" s="32"/>
      <c r="B11" s="33" t="s">
        <v>214</v>
      </c>
      <c r="C11" s="4"/>
      <c r="D11" s="4"/>
      <c r="E11" s="4"/>
      <c r="F11" s="4"/>
      <c r="G11" s="4"/>
    </row>
    <row r="12" spans="1:7" ht="12.75" outlineLevel="1">
      <c r="A12" s="32"/>
      <c r="B12" s="33" t="s">
        <v>330</v>
      </c>
      <c r="C12" s="4">
        <f>'Dept Budget'!E140</f>
        <v>177050</v>
      </c>
      <c r="D12" s="4">
        <f>'Dept Budget'!F140+C12</f>
        <v>354000</v>
      </c>
      <c r="E12" s="4">
        <f>'Dept Budget'!G140+D12</f>
        <v>521150</v>
      </c>
      <c r="F12" s="4">
        <f>'Dept Budget'!H140+E12</f>
        <v>589250</v>
      </c>
      <c r="G12" s="4">
        <f>'Dept Budget'!I140+F12</f>
        <v>645100</v>
      </c>
    </row>
    <row r="13" spans="1:7" ht="12.75">
      <c r="A13" s="32"/>
      <c r="B13" s="33" t="s">
        <v>215</v>
      </c>
      <c r="C13" s="4">
        <f>0.2*C12</f>
        <v>35410</v>
      </c>
      <c r="D13" s="4">
        <f>0.2*D12</f>
        <v>70800</v>
      </c>
      <c r="E13" s="4">
        <f>0.2*E12</f>
        <v>104230</v>
      </c>
      <c r="F13" s="4">
        <f>0.2*F12</f>
        <v>117850</v>
      </c>
      <c r="G13" s="4">
        <f>0.2*G12</f>
        <v>129020</v>
      </c>
    </row>
    <row r="14" spans="1:7" ht="12.75">
      <c r="A14" s="32"/>
      <c r="B14" s="33"/>
      <c r="C14" s="4"/>
      <c r="D14" s="4"/>
      <c r="E14" s="4"/>
      <c r="F14" s="4"/>
      <c r="G14" s="4"/>
    </row>
    <row r="15" spans="1:7" ht="12.75">
      <c r="A15" s="32"/>
      <c r="B15" s="33" t="s">
        <v>216</v>
      </c>
      <c r="C15" s="4"/>
      <c r="D15" s="4"/>
      <c r="E15" s="4"/>
      <c r="F15" s="4"/>
      <c r="G15" s="4"/>
    </row>
    <row r="16" spans="1:7" ht="12.75">
      <c r="A16" s="32"/>
      <c r="B16" s="33" t="s">
        <v>217</v>
      </c>
      <c r="C16" s="4"/>
      <c r="D16" s="4"/>
      <c r="E16" s="4"/>
      <c r="F16" s="4"/>
      <c r="G16" s="4"/>
    </row>
    <row r="17" spans="1:7" ht="12.75">
      <c r="A17" s="35"/>
      <c r="B17" s="36"/>
      <c r="C17" s="4"/>
      <c r="D17" s="4"/>
      <c r="E17" s="4"/>
      <c r="F17" s="4"/>
      <c r="G17" s="4"/>
    </row>
    <row r="18" spans="1:7" ht="12.75">
      <c r="A18" s="32"/>
      <c r="B18" s="33" t="s">
        <v>218</v>
      </c>
      <c r="C18" s="4">
        <f>(-'Bal Sheet'!C9)</f>
        <v>-832298.8</v>
      </c>
      <c r="D18" s="4">
        <f>(-'Bal Sheet'!D9)+'Bal Sheet'!C9</f>
        <v>-1286335.2</v>
      </c>
      <c r="E18" s="4">
        <f>(-'Bal Sheet'!E9)+'Bal Sheet'!D9</f>
        <v>-2154696.2</v>
      </c>
      <c r="F18" s="4">
        <f>(-'Bal Sheet'!F9)+'Bal Sheet'!E9</f>
        <v>-3546526.9860000005</v>
      </c>
      <c r="G18" s="4">
        <f>(-'Bal Sheet'!G9)+'Bal Sheet'!F9</f>
        <v>-5437607.871379999</v>
      </c>
    </row>
    <row r="19" spans="1:7" ht="12.75">
      <c r="A19" s="32"/>
      <c r="B19" s="33" t="s">
        <v>219</v>
      </c>
      <c r="C19" s="4"/>
      <c r="D19" s="4"/>
      <c r="E19" s="4"/>
      <c r="F19" s="4"/>
      <c r="G19" s="4"/>
    </row>
    <row r="20" spans="1:7" ht="12.75">
      <c r="A20" s="32"/>
      <c r="B20" s="33" t="s">
        <v>220</v>
      </c>
      <c r="C20" s="4"/>
      <c r="D20" s="4"/>
      <c r="E20" s="4"/>
      <c r="F20" s="4"/>
      <c r="G20" s="4"/>
    </row>
    <row r="21" spans="1:7" ht="12.75">
      <c r="A21" s="32"/>
      <c r="B21" s="33" t="s">
        <v>221</v>
      </c>
      <c r="C21" s="4">
        <f>'Bal Sheet'!C22</f>
        <v>895000</v>
      </c>
      <c r="D21" s="4">
        <f>'Bal Sheet'!D22-'Bal Sheet'!C22</f>
        <v>940000</v>
      </c>
      <c r="E21" s="4">
        <f>'Bal Sheet'!E22-'Bal Sheet'!D22</f>
        <v>940000</v>
      </c>
      <c r="F21" s="4">
        <f>'Bal Sheet'!F22-'Bal Sheet'!E22</f>
        <v>1725000</v>
      </c>
      <c r="G21" s="4">
        <f>'Bal Sheet'!G22-'Bal Sheet'!F22</f>
        <v>3910000</v>
      </c>
    </row>
    <row r="22" spans="1:7" ht="12.75">
      <c r="A22" s="32"/>
      <c r="B22" s="37" t="s">
        <v>222</v>
      </c>
      <c r="C22" s="4">
        <f>'Bal Sheet'!C24</f>
        <v>300000</v>
      </c>
      <c r="D22" s="4"/>
      <c r="E22" s="4"/>
      <c r="F22" s="4"/>
      <c r="G22" s="4"/>
    </row>
    <row r="23" spans="1:7" ht="12.75">
      <c r="A23" s="32"/>
      <c r="B23" s="33" t="s">
        <v>223</v>
      </c>
      <c r="C23" s="4"/>
      <c r="D23" s="4"/>
      <c r="E23" s="4"/>
      <c r="F23" s="4"/>
      <c r="G23" s="4"/>
    </row>
    <row r="24" spans="1:7" ht="12.75">
      <c r="A24" s="32"/>
      <c r="B24" s="33" t="s">
        <v>224</v>
      </c>
      <c r="C24" s="4">
        <f>('P&amp;L'!E133&gt;0)*(-'P&amp;L'!E133)</f>
        <v>0</v>
      </c>
      <c r="D24" s="4">
        <f>('P&amp;L'!F133&gt;0)*(-'P&amp;L'!F133)</f>
        <v>0</v>
      </c>
      <c r="E24" s="4">
        <f>('P&amp;L'!G133&gt;0)*(-'P&amp;L'!G133)</f>
        <v>-456621.6944999997</v>
      </c>
      <c r="F24" s="4">
        <f>('P&amp;L'!H133&gt;0)*(-'P&amp;L'!H133)</f>
        <v>-3338236.4768749997</v>
      </c>
      <c r="G24" s="4">
        <f>('P&amp;L'!I133&gt;0)*(-'P&amp;L'!I133)</f>
        <v>-9568860.360982748</v>
      </c>
    </row>
    <row r="25" spans="1:7" ht="12.75" hidden="1" outlineLevel="1">
      <c r="A25" s="32"/>
      <c r="B25" s="71" t="s">
        <v>362</v>
      </c>
      <c r="C25" s="4">
        <f>IF(C8&lt;0,C8,0)</f>
        <v>-1715300.333333334</v>
      </c>
      <c r="D25" s="4">
        <f>IF(D8&lt;0,D8+C25,C25)+C26</f>
        <v>-5832593.66666667</v>
      </c>
      <c r="E25" s="4">
        <f>IF(E8&lt;0,E8+D25,D25)+D26</f>
        <v>-5832593.66666667</v>
      </c>
      <c r="F25" s="4">
        <f>IF(F8&lt;0,F8+E25,E25)+E26</f>
        <v>-5375971.9721666705</v>
      </c>
      <c r="G25" s="4">
        <f>IF(G8&lt;0,G8+F25,F25)+F26</f>
        <v>-2037735.4952916708</v>
      </c>
    </row>
    <row r="26" spans="1:7" ht="12.75" collapsed="1">
      <c r="A26" s="32"/>
      <c r="B26" s="33" t="s">
        <v>225</v>
      </c>
      <c r="C26" s="4"/>
      <c r="D26" s="4">
        <f>(-D24)</f>
        <v>0</v>
      </c>
      <c r="E26" s="4">
        <f>(ABS(E25)&gt;=ABS(E24))*(-E24)</f>
        <v>456621.6944999997</v>
      </c>
      <c r="F26" s="4">
        <f>(ABS(F25)&gt;=ABS(F24))*(-F24)</f>
        <v>3338236.4768749997</v>
      </c>
      <c r="G26" s="4">
        <f>ABS(G25)</f>
        <v>2037735.4952916708</v>
      </c>
    </row>
    <row r="27" spans="1:7" ht="12.75">
      <c r="A27" s="32"/>
      <c r="B27" s="33"/>
      <c r="C27" s="5"/>
      <c r="D27" s="5"/>
      <c r="E27" s="5"/>
      <c r="F27" s="5"/>
      <c r="G27" s="5"/>
    </row>
    <row r="28" spans="1:7" ht="12.75">
      <c r="A28" s="32"/>
      <c r="B28" s="33" t="s">
        <v>226</v>
      </c>
      <c r="C28" s="4">
        <f>SUM(C8:C24)+C26</f>
        <v>-1140139.1333333338</v>
      </c>
      <c r="D28" s="4">
        <f>SUM(D8:D24)+D26</f>
        <v>-4038828.533333336</v>
      </c>
      <c r="E28" s="4">
        <f>SUM(E8:E24)+E26</f>
        <v>67773.55549999932</v>
      </c>
      <c r="F28" s="4">
        <f>SUM(F8:F24)+F26</f>
        <v>3689376.724625</v>
      </c>
      <c r="G28" s="4">
        <f>SUM(G8:G24)+G26</f>
        <v>5485210.709221173</v>
      </c>
    </row>
    <row r="29" spans="1:7" ht="12.75">
      <c r="A29" s="32"/>
      <c r="B29" s="33"/>
      <c r="C29" s="4"/>
      <c r="D29" s="4"/>
      <c r="E29" s="4"/>
      <c r="F29" s="4"/>
      <c r="G29" s="4"/>
    </row>
    <row r="30" spans="1:7" ht="12.75">
      <c r="A30" s="34" t="s">
        <v>333</v>
      </c>
      <c r="C30" s="4"/>
      <c r="D30" s="4"/>
      <c r="E30" s="4"/>
      <c r="F30" s="4"/>
      <c r="G30" s="4"/>
    </row>
    <row r="31" spans="1:7" ht="12.75">
      <c r="A31" s="32"/>
      <c r="B31" s="33" t="s">
        <v>227</v>
      </c>
      <c r="C31" s="4"/>
      <c r="D31" s="4"/>
      <c r="E31" s="4"/>
      <c r="F31" s="4"/>
      <c r="G31" s="4"/>
    </row>
    <row r="32" spans="1:7" ht="12.75">
      <c r="A32" s="32"/>
      <c r="B32" s="33" t="s">
        <v>228</v>
      </c>
      <c r="C32" s="34"/>
      <c r="D32" s="1"/>
      <c r="E32" s="4"/>
      <c r="F32" s="4"/>
      <c r="G32" s="4"/>
    </row>
    <row r="33" spans="1:7" ht="12.75">
      <c r="A33" s="32"/>
      <c r="B33" s="33" t="s">
        <v>229</v>
      </c>
      <c r="C33" s="4"/>
      <c r="D33" s="4"/>
      <c r="E33" s="4"/>
      <c r="F33" s="4"/>
      <c r="G33" s="4"/>
    </row>
    <row r="34" spans="1:7" ht="12.75">
      <c r="A34" s="32"/>
      <c r="B34" s="33" t="s">
        <v>230</v>
      </c>
      <c r="C34" s="4"/>
      <c r="D34" s="4"/>
      <c r="E34" s="4"/>
      <c r="F34" s="4"/>
      <c r="G34" s="4"/>
    </row>
    <row r="35" spans="1:7" ht="12.75">
      <c r="A35" s="32"/>
      <c r="B35" s="33" t="s">
        <v>231</v>
      </c>
      <c r="C35" s="4"/>
      <c r="D35" s="4"/>
      <c r="E35" s="4"/>
      <c r="F35" s="4"/>
      <c r="G35" s="4"/>
    </row>
    <row r="36" spans="1:7" ht="12.75">
      <c r="A36" s="32"/>
      <c r="B36" s="33"/>
      <c r="C36" s="5"/>
      <c r="D36" s="5"/>
      <c r="E36" s="5"/>
      <c r="F36" s="5"/>
      <c r="G36" s="5"/>
    </row>
    <row r="37" spans="1:7" ht="12.75">
      <c r="A37" s="32"/>
      <c r="B37" s="33" t="s">
        <v>232</v>
      </c>
      <c r="C37" s="4">
        <f>SUM(C31:C35)</f>
        <v>0</v>
      </c>
      <c r="D37" s="4">
        <f>SUM(D31:D35)</f>
        <v>0</v>
      </c>
      <c r="E37" s="4">
        <f>SUM(E31:E35)</f>
        <v>0</v>
      </c>
      <c r="F37" s="4">
        <f>SUM(F31:F35)</f>
        <v>0</v>
      </c>
      <c r="G37" s="4">
        <f>SUM(G31:G35)</f>
        <v>0</v>
      </c>
    </row>
    <row r="38" spans="1:7" ht="12.75">
      <c r="A38" s="32"/>
      <c r="B38" s="33"/>
      <c r="C38" s="4"/>
      <c r="D38" s="4"/>
      <c r="E38" s="4"/>
      <c r="F38" s="4"/>
      <c r="G38" s="4"/>
    </row>
    <row r="39" spans="1:7" ht="12.75">
      <c r="A39" s="34" t="s">
        <v>334</v>
      </c>
      <c r="B39" s="33"/>
      <c r="C39" s="4"/>
      <c r="D39" s="4"/>
      <c r="E39" s="4"/>
      <c r="F39" s="4"/>
      <c r="G39" s="4"/>
    </row>
    <row r="40" spans="1:7" ht="12.75">
      <c r="A40" s="32"/>
      <c r="B40" s="37" t="s">
        <v>233</v>
      </c>
      <c r="C40" s="34"/>
      <c r="D40" s="4"/>
      <c r="E40" s="4"/>
      <c r="F40" s="4"/>
      <c r="G40" s="4"/>
    </row>
    <row r="41" spans="1:7" ht="12.75">
      <c r="A41" s="32"/>
      <c r="B41" s="33" t="s">
        <v>234</v>
      </c>
      <c r="C41" s="4"/>
      <c r="D41" s="4"/>
      <c r="E41" s="4"/>
      <c r="F41" s="4"/>
      <c r="G41" s="4"/>
    </row>
    <row r="42" spans="1:7" ht="12.75">
      <c r="A42" s="32"/>
      <c r="B42" s="33" t="s">
        <v>235</v>
      </c>
      <c r="C42" s="4"/>
      <c r="D42" s="4"/>
      <c r="E42" s="4"/>
      <c r="F42" s="4"/>
      <c r="G42" s="4"/>
    </row>
    <row r="43" spans="1:7" ht="12.75">
      <c r="A43" s="32"/>
      <c r="B43" s="33" t="s">
        <v>322</v>
      </c>
      <c r="C43" s="4">
        <v>5000000</v>
      </c>
      <c r="D43" s="4"/>
      <c r="E43" s="4"/>
      <c r="F43" s="4"/>
      <c r="G43" s="4"/>
    </row>
    <row r="44" spans="1:7" ht="12.75">
      <c r="A44" s="32"/>
      <c r="B44" s="33" t="s">
        <v>323</v>
      </c>
      <c r="C44" s="5"/>
      <c r="D44" s="5">
        <v>4000000</v>
      </c>
      <c r="E44" s="5"/>
      <c r="F44" s="5"/>
      <c r="G44" s="5"/>
    </row>
    <row r="45" spans="1:7" ht="12.75">
      <c r="A45" s="32"/>
      <c r="B45" s="33" t="s">
        <v>236</v>
      </c>
      <c r="C45" s="4">
        <f>SUM(C40:C44)</f>
        <v>5000000</v>
      </c>
      <c r="D45" s="4">
        <f>SUM(D40:D44)</f>
        <v>4000000</v>
      </c>
      <c r="E45" s="4">
        <f>SUM(E40:E44)</f>
        <v>0</v>
      </c>
      <c r="F45" s="4">
        <f>SUM(F40:F44)</f>
        <v>0</v>
      </c>
      <c r="G45" s="4">
        <f>SUM(G40:G44)</f>
        <v>0</v>
      </c>
    </row>
    <row r="46" spans="1:7" ht="12.75">
      <c r="A46" s="32"/>
      <c r="B46" s="33"/>
      <c r="C46" s="5"/>
      <c r="D46" s="5"/>
      <c r="E46" s="5"/>
      <c r="F46" s="5"/>
      <c r="G46" s="5"/>
    </row>
    <row r="47" spans="1:7" ht="12.75">
      <c r="A47" s="34" t="s">
        <v>337</v>
      </c>
      <c r="B47" s="33"/>
      <c r="C47" s="4">
        <f>C28+C37+C45</f>
        <v>3859860.866666666</v>
      </c>
      <c r="D47" s="4">
        <f>D28+D37+D45</f>
        <v>-38828.533333336</v>
      </c>
      <c r="E47" s="4">
        <f>E28+E37+E45</f>
        <v>67773.55549999932</v>
      </c>
      <c r="F47" s="4">
        <f>F28+F37+F45</f>
        <v>3689376.724625</v>
      </c>
      <c r="G47" s="4">
        <f>G28+G37+G45</f>
        <v>5485210.709221173</v>
      </c>
    </row>
    <row r="48" spans="1:7" ht="12.75">
      <c r="A48" s="32"/>
      <c r="B48" s="33"/>
      <c r="C48" s="4"/>
      <c r="D48" s="4"/>
      <c r="E48" s="4"/>
      <c r="F48" s="4"/>
      <c r="G48" s="4"/>
    </row>
    <row r="49" spans="1:7" ht="12.75">
      <c r="A49" s="34" t="s">
        <v>335</v>
      </c>
      <c r="B49" s="33"/>
      <c r="C49" s="4"/>
      <c r="D49" s="4">
        <f>C51</f>
        <v>3859860.866666666</v>
      </c>
      <c r="E49" s="4">
        <f>D51</f>
        <v>3821032.33333333</v>
      </c>
      <c r="F49" s="4">
        <f>E51</f>
        <v>3888805.8888333295</v>
      </c>
      <c r="G49" s="4">
        <f>F51</f>
        <v>7578182.61345833</v>
      </c>
    </row>
    <row r="50" spans="1:7" ht="12.75">
      <c r="A50" s="32"/>
      <c r="B50" s="33"/>
      <c r="C50" s="4"/>
      <c r="D50" s="4"/>
      <c r="E50" s="4"/>
      <c r="F50" s="4"/>
      <c r="G50" s="4"/>
    </row>
    <row r="51" spans="1:7" ht="13.5" thickBot="1">
      <c r="A51" s="34" t="s">
        <v>336</v>
      </c>
      <c r="B51" s="33"/>
      <c r="C51" s="47">
        <f>C47+C49</f>
        <v>3859860.866666666</v>
      </c>
      <c r="D51" s="47">
        <f>D47+D49</f>
        <v>3821032.33333333</v>
      </c>
      <c r="E51" s="47">
        <f>E47+E49</f>
        <v>3888805.8888333295</v>
      </c>
      <c r="F51" s="47">
        <f>F47+F49</f>
        <v>7578182.61345833</v>
      </c>
      <c r="G51" s="47">
        <f>G47+G49</f>
        <v>13063393.322679503</v>
      </c>
    </row>
    <row r="52" spans="3:7" ht="13.5" thickTop="1">
      <c r="C52" s="4"/>
      <c r="D52" s="4"/>
      <c r="E52" s="4"/>
      <c r="F52" s="4"/>
      <c r="G52" s="4"/>
    </row>
    <row r="53" spans="1:7" ht="12.75">
      <c r="A53" s="34"/>
      <c r="C53" s="4"/>
      <c r="D53" s="4"/>
      <c r="E53" s="4"/>
      <c r="F53" s="4"/>
      <c r="G53" s="4"/>
    </row>
    <row r="54" spans="1:7" ht="12.75">
      <c r="A54" s="34"/>
      <c r="C54" s="4"/>
      <c r="D54" s="4"/>
      <c r="E54" s="4"/>
      <c r="F54" s="4"/>
      <c r="G54" s="4"/>
    </row>
    <row r="55" spans="3:7" ht="12.75">
      <c r="C55" s="4"/>
      <c r="D55" s="4"/>
      <c r="E55" s="4"/>
      <c r="F55" s="4"/>
      <c r="G55" s="4"/>
    </row>
    <row r="56" spans="3:7" ht="12.75">
      <c r="C56" s="4"/>
      <c r="D56" s="4"/>
      <c r="E56" s="4"/>
      <c r="F56" s="4"/>
      <c r="G56" s="4"/>
    </row>
    <row r="57" spans="3:7" ht="12.75">
      <c r="C57" s="4"/>
      <c r="D57" s="4"/>
      <c r="E57" s="4"/>
      <c r="F57" s="4"/>
      <c r="G57" s="4"/>
    </row>
    <row r="58" spans="3:7" ht="12.75">
      <c r="C58" s="4"/>
      <c r="D58" s="4"/>
      <c r="E58" s="4"/>
      <c r="F58" s="4"/>
      <c r="G58" s="4"/>
    </row>
    <row r="59" spans="3:7" ht="12.75">
      <c r="C59" s="4"/>
      <c r="D59" s="4"/>
      <c r="E59" s="4"/>
      <c r="F59" s="4"/>
      <c r="G59" s="4"/>
    </row>
    <row r="60" spans="3:7" ht="12.75">
      <c r="C60" s="4"/>
      <c r="D60" s="4"/>
      <c r="E60" s="4"/>
      <c r="F60" s="4"/>
      <c r="G60" s="4"/>
    </row>
    <row r="61" spans="3:7" ht="12.75">
      <c r="C61" s="4"/>
      <c r="D61" s="4"/>
      <c r="E61" s="4"/>
      <c r="F61" s="4"/>
      <c r="G61" s="4"/>
    </row>
    <row r="62" spans="3:7" ht="12.75">
      <c r="C62" s="4"/>
      <c r="D62" s="4"/>
      <c r="E62" s="4"/>
      <c r="F62" s="4"/>
      <c r="G62" s="4"/>
    </row>
    <row r="63" spans="3:7" ht="12.75">
      <c r="C63" s="4"/>
      <c r="D63" s="4"/>
      <c r="E63" s="4"/>
      <c r="F63" s="4"/>
      <c r="G63" s="4"/>
    </row>
    <row r="64" spans="3:7" ht="12.75">
      <c r="C64" s="4"/>
      <c r="D64" s="4"/>
      <c r="E64" s="4"/>
      <c r="F64" s="4"/>
      <c r="G64" s="4"/>
    </row>
    <row r="65" spans="3:7" ht="12.75">
      <c r="C65" s="4"/>
      <c r="D65" s="4"/>
      <c r="E65" s="4"/>
      <c r="F65" s="4"/>
      <c r="G65" s="4"/>
    </row>
    <row r="66" spans="3:7" ht="12.75">
      <c r="C66" s="4"/>
      <c r="D66" s="4"/>
      <c r="E66" s="4"/>
      <c r="F66" s="4"/>
      <c r="G66" s="4"/>
    </row>
    <row r="67" spans="3:7" ht="12.75">
      <c r="C67" s="7"/>
      <c r="D67" s="7"/>
      <c r="E67" s="7"/>
      <c r="F67" s="7"/>
      <c r="G67" s="7"/>
    </row>
    <row r="68" spans="3:7" ht="12.75">
      <c r="C68" s="7"/>
      <c r="D68" s="7"/>
      <c r="E68" s="7"/>
      <c r="F68" s="7"/>
      <c r="G68" s="7"/>
    </row>
    <row r="69" spans="3:7" ht="12.75">
      <c r="C69" s="7"/>
      <c r="D69" s="7"/>
      <c r="E69" s="7"/>
      <c r="F69" s="7"/>
      <c r="G69" s="7"/>
    </row>
    <row r="70" spans="3:7" ht="12.75">
      <c r="C70" s="7"/>
      <c r="D70" s="7"/>
      <c r="E70" s="7"/>
      <c r="F70" s="7"/>
      <c r="G70" s="7"/>
    </row>
    <row r="71" spans="3:7" ht="12.75">
      <c r="C71" s="7"/>
      <c r="D71" s="7"/>
      <c r="E71" s="7"/>
      <c r="F71" s="7"/>
      <c r="G71" s="7"/>
    </row>
    <row r="72" spans="3:7" ht="12.75">
      <c r="C72" s="7"/>
      <c r="D72" s="7"/>
      <c r="E72" s="7"/>
      <c r="F72" s="7"/>
      <c r="G72" s="7"/>
    </row>
    <row r="73" spans="3:7" ht="12.75">
      <c r="C73" s="7"/>
      <c r="D73" s="7"/>
      <c r="E73" s="7"/>
      <c r="F73" s="7"/>
      <c r="G73" s="7"/>
    </row>
    <row r="74" spans="3:7" ht="12.75">
      <c r="C74" s="7"/>
      <c r="D74" s="7"/>
      <c r="E74" s="7"/>
      <c r="F74" s="7"/>
      <c r="G74" s="7"/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&amp;C&amp;"Arial,Bold"&amp;12Proforma CashFlow&amp;10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G57"/>
  <sheetViews>
    <sheetView zoomScalePageLayoutView="0" workbookViewId="0" topLeftCell="A1">
      <selection activeCell="C5" sqref="C5:G6"/>
    </sheetView>
  </sheetViews>
  <sheetFormatPr defaultColWidth="9.140625" defaultRowHeight="12.75"/>
  <cols>
    <col min="1" max="1" width="3.7109375" style="46" customWidth="1"/>
    <col min="2" max="2" width="33.00390625" style="46" customWidth="1"/>
    <col min="3" max="7" width="10.7109375" style="0" customWidth="1"/>
  </cols>
  <sheetData>
    <row r="3" spans="1:2" ht="12.75">
      <c r="A3" s="38"/>
      <c r="B3" s="39"/>
    </row>
    <row r="4" spans="1:2" ht="12.75">
      <c r="A4" s="30" t="s">
        <v>240</v>
      </c>
      <c r="B4" s="40"/>
    </row>
    <row r="5" spans="1:7" ht="12.75">
      <c r="A5" s="41"/>
      <c r="B5" s="40"/>
      <c r="C5" s="6">
        <v>2007</v>
      </c>
      <c r="D5" s="1"/>
      <c r="E5" s="1"/>
      <c r="F5" s="1"/>
      <c r="G5" s="1"/>
    </row>
    <row r="6" spans="1:7" ht="12.75">
      <c r="A6" s="39"/>
      <c r="B6" s="39"/>
      <c r="C6" s="6" t="s">
        <v>363</v>
      </c>
      <c r="D6" s="6">
        <f>C5+1</f>
        <v>2008</v>
      </c>
      <c r="E6" s="72">
        <f>D6+1</f>
        <v>2009</v>
      </c>
      <c r="F6" s="72">
        <f>E6+1</f>
        <v>2010</v>
      </c>
      <c r="G6" s="72">
        <f>F6+1</f>
        <v>2011</v>
      </c>
    </row>
    <row r="7" spans="1:7" ht="12.75">
      <c r="A7" s="42" t="s">
        <v>338</v>
      </c>
      <c r="B7" s="39"/>
      <c r="C7" s="4"/>
      <c r="D7" s="4"/>
      <c r="E7" s="4"/>
      <c r="F7" s="4"/>
      <c r="G7" s="4"/>
    </row>
    <row r="8" spans="1:7" ht="12.75">
      <c r="A8" s="39"/>
      <c r="B8" s="39" t="s">
        <v>241</v>
      </c>
      <c r="C8" s="21">
        <f>'Cash Flow'!C51</f>
        <v>3859860.866666666</v>
      </c>
      <c r="D8" s="21">
        <f>'Cash Flow'!D51</f>
        <v>3821032.33333333</v>
      </c>
      <c r="E8" s="21">
        <f>'Cash Flow'!E51</f>
        <v>3888805.8888333295</v>
      </c>
      <c r="F8" s="21">
        <f>'Cash Flow'!F51</f>
        <v>7578182.61345833</v>
      </c>
      <c r="G8" s="21">
        <f>'Cash Flow'!G51</f>
        <v>13063393.322679503</v>
      </c>
    </row>
    <row r="9" spans="1:7" ht="12.75">
      <c r="A9" s="39"/>
      <c r="B9" s="43" t="s">
        <v>242</v>
      </c>
      <c r="C9" s="4">
        <f>'P&amp;L'!E114*0.2</f>
        <v>832298.8</v>
      </c>
      <c r="D9" s="4">
        <f>'P&amp;L'!F114*0.2</f>
        <v>2118634</v>
      </c>
      <c r="E9" s="4">
        <f>'P&amp;L'!G114*0.2</f>
        <v>4273330.2</v>
      </c>
      <c r="F9" s="4">
        <f>'P&amp;L'!H114*0.2</f>
        <v>7819857.186000001</v>
      </c>
      <c r="G9" s="4">
        <f>'P&amp;L'!I114*0.2</f>
        <v>13257465.05738</v>
      </c>
    </row>
    <row r="10" spans="1:7" ht="12.75">
      <c r="A10" s="39"/>
      <c r="B10" s="39" t="s">
        <v>243</v>
      </c>
      <c r="C10" s="4"/>
      <c r="D10" s="4"/>
      <c r="E10" s="4"/>
      <c r="F10" s="4"/>
      <c r="G10" s="4"/>
    </row>
    <row r="11" spans="1:7" ht="12.75">
      <c r="A11" s="39"/>
      <c r="B11" s="39" t="s">
        <v>244</v>
      </c>
      <c r="C11" s="5"/>
      <c r="D11" s="5"/>
      <c r="E11" s="5"/>
      <c r="F11" s="5"/>
      <c r="G11" s="5"/>
    </row>
    <row r="12" spans="1:7" ht="12.75">
      <c r="A12" s="39"/>
      <c r="B12" s="39" t="s">
        <v>245</v>
      </c>
      <c r="C12" s="4">
        <f>SUM(C8:C11)</f>
        <v>4692159.666666666</v>
      </c>
      <c r="D12" s="4">
        <f>SUM(D8:D11)</f>
        <v>5939666.33333333</v>
      </c>
      <c r="E12" s="4">
        <f>SUM(E8:E11)</f>
        <v>8162136.08883333</v>
      </c>
      <c r="F12" s="4">
        <f>SUM(F8:F11)</f>
        <v>15398039.79945833</v>
      </c>
      <c r="G12" s="4">
        <f>SUM(G8:G11)</f>
        <v>26320858.380059503</v>
      </c>
    </row>
    <row r="13" spans="1:7" ht="12.75">
      <c r="A13" s="39"/>
      <c r="B13" s="39"/>
      <c r="C13" s="4"/>
      <c r="D13" s="4"/>
      <c r="E13" s="4"/>
      <c r="F13" s="4"/>
      <c r="G13" s="4"/>
    </row>
    <row r="14" spans="1:7" ht="12.75">
      <c r="A14" s="39"/>
      <c r="B14" s="43" t="s">
        <v>246</v>
      </c>
      <c r="C14" s="4">
        <f>'Cash Flow'!C12-'Cash Flow'!C13</f>
        <v>141640</v>
      </c>
      <c r="D14" s="4">
        <f>'Cash Flow'!D12-'Cash Flow'!D13</f>
        <v>283200</v>
      </c>
      <c r="E14" s="4">
        <f>'Cash Flow'!E12-'Cash Flow'!E13</f>
        <v>416920</v>
      </c>
      <c r="F14" s="4">
        <f>'Cash Flow'!F12-'Cash Flow'!F13</f>
        <v>471400</v>
      </c>
      <c r="G14" s="4">
        <f>'Cash Flow'!G12-'Cash Flow'!G13</f>
        <v>516080</v>
      </c>
    </row>
    <row r="15" spans="1:7" ht="12.75">
      <c r="A15" s="39"/>
      <c r="B15" s="39" t="s">
        <v>247</v>
      </c>
      <c r="C15" s="4"/>
      <c r="D15" s="4"/>
      <c r="E15" s="4"/>
      <c r="F15" s="4"/>
      <c r="G15" s="4"/>
    </row>
    <row r="16" spans="1:7" ht="12.75">
      <c r="A16" s="39"/>
      <c r="B16" s="43" t="s">
        <v>248</v>
      </c>
      <c r="C16" s="4"/>
      <c r="D16" s="4"/>
      <c r="E16" s="4"/>
      <c r="F16" s="4"/>
      <c r="G16" s="4"/>
    </row>
    <row r="17" spans="1:7" ht="13.5" thickBot="1">
      <c r="A17" s="39"/>
      <c r="B17" s="44" t="s">
        <v>339</v>
      </c>
      <c r="C17" s="47">
        <f>C12+SUM(C14:C16)</f>
        <v>4833799.666666666</v>
      </c>
      <c r="D17" s="47">
        <f>D12+SUM(D14:D16)</f>
        <v>6222866.33333333</v>
      </c>
      <c r="E17" s="47">
        <f>E12+SUM(E14:E16)</f>
        <v>8579056.08883333</v>
      </c>
      <c r="F17" s="47">
        <f>F12+SUM(F14:F16)</f>
        <v>15869439.79945833</v>
      </c>
      <c r="G17" s="47">
        <f>G12+SUM(G14:G16)</f>
        <v>26836938.380059503</v>
      </c>
    </row>
    <row r="18" spans="1:7" ht="13.5" thickTop="1">
      <c r="A18" s="39"/>
      <c r="B18" s="39"/>
      <c r="C18" s="4"/>
      <c r="D18" s="4"/>
      <c r="E18" s="4"/>
      <c r="F18" s="4"/>
      <c r="G18" s="4"/>
    </row>
    <row r="19" spans="1:7" ht="12.75">
      <c r="A19" s="40" t="s">
        <v>340</v>
      </c>
      <c r="B19" s="39"/>
      <c r="C19" s="4"/>
      <c r="D19" s="4"/>
      <c r="E19" s="4"/>
      <c r="F19" s="4"/>
      <c r="G19" s="4"/>
    </row>
    <row r="20" spans="1:7" ht="12.75">
      <c r="A20" s="39"/>
      <c r="B20" s="39"/>
      <c r="C20" s="4"/>
      <c r="D20" s="4"/>
      <c r="E20" s="4"/>
      <c r="F20" s="4"/>
      <c r="G20" s="4"/>
    </row>
    <row r="21" spans="1:7" ht="12.75">
      <c r="A21" s="42" t="s">
        <v>341</v>
      </c>
      <c r="B21" s="45"/>
      <c r="C21" s="4"/>
      <c r="D21" s="4"/>
      <c r="E21" s="4"/>
      <c r="F21" s="4"/>
      <c r="G21" s="4"/>
    </row>
    <row r="22" spans="1:7" ht="12.75">
      <c r="A22" s="39"/>
      <c r="B22" s="39" t="s">
        <v>249</v>
      </c>
      <c r="C22" s="4">
        <f>'Dept Budget'!E145+'Dept Budget'!E146+'Dept Budget'!E147+'Dept Budget'!E149</f>
        <v>895000</v>
      </c>
      <c r="D22" s="4">
        <f>'Dept Budget'!F145+'Dept Budget'!F146+'Dept Budget'!F147+'Dept Budget'!F149</f>
        <v>1835000</v>
      </c>
      <c r="E22" s="4">
        <f>'Dept Budget'!G145+'Dept Budget'!G146+'Dept Budget'!G147+'Dept Budget'!G149</f>
        <v>2775000</v>
      </c>
      <c r="F22" s="4">
        <f>'Dept Budget'!H145+'Dept Budget'!H146+'Dept Budget'!H147+'Dept Budget'!H149</f>
        <v>4500000</v>
      </c>
      <c r="G22" s="4">
        <f>'Dept Budget'!I145+'Dept Budget'!I146+'Dept Budget'!I147+'Dept Budget'!I149</f>
        <v>8410000</v>
      </c>
    </row>
    <row r="23" spans="1:7" ht="12.75">
      <c r="A23" s="39"/>
      <c r="B23" s="39" t="s">
        <v>250</v>
      </c>
      <c r="C23" s="4"/>
      <c r="D23" s="4"/>
      <c r="E23" s="4"/>
      <c r="F23" s="4"/>
      <c r="G23" s="4"/>
    </row>
    <row r="24" spans="1:7" ht="12.75">
      <c r="A24" s="39"/>
      <c r="B24" s="39" t="s">
        <v>251</v>
      </c>
      <c r="C24" s="4">
        <v>300000</v>
      </c>
      <c r="D24" s="4"/>
      <c r="E24" s="4"/>
      <c r="F24" s="4"/>
      <c r="G24" s="4"/>
    </row>
    <row r="25" spans="1:7" ht="12.75">
      <c r="A25" s="39"/>
      <c r="B25" s="39" t="s">
        <v>252</v>
      </c>
      <c r="C25" s="4"/>
      <c r="D25" s="4"/>
      <c r="E25" s="4"/>
      <c r="F25" s="4"/>
      <c r="G25" s="4"/>
    </row>
    <row r="26" spans="1:7" ht="12.75">
      <c r="A26" s="39"/>
      <c r="B26" s="43" t="s">
        <v>253</v>
      </c>
      <c r="C26" s="4"/>
      <c r="D26" s="4"/>
      <c r="E26" s="4"/>
      <c r="F26" s="4"/>
      <c r="G26" s="4"/>
    </row>
    <row r="27" spans="1:7" ht="12.75">
      <c r="A27" s="39"/>
      <c r="B27" s="39" t="s">
        <v>254</v>
      </c>
      <c r="C27" s="5"/>
      <c r="D27" s="5"/>
      <c r="E27" s="5"/>
      <c r="F27" s="5"/>
      <c r="G27" s="5"/>
    </row>
    <row r="28" spans="1:7" ht="12.75">
      <c r="A28" s="39"/>
      <c r="B28" s="39" t="s">
        <v>255</v>
      </c>
      <c r="C28" s="4">
        <f>SUM(C22:C27)</f>
        <v>1195000</v>
      </c>
      <c r="D28" s="4">
        <f>SUM(D22:D27)</f>
        <v>1835000</v>
      </c>
      <c r="E28" s="4">
        <f>SUM(E22:E27)</f>
        <v>2775000</v>
      </c>
      <c r="F28" s="4">
        <f>SUM(F22:F27)</f>
        <v>4500000</v>
      </c>
      <c r="G28" s="4">
        <f>SUM(G22:G27)</f>
        <v>8410000</v>
      </c>
    </row>
    <row r="29" spans="1:7" ht="12.75">
      <c r="A29" s="39"/>
      <c r="B29" s="39"/>
      <c r="C29" s="4"/>
      <c r="D29" s="4"/>
      <c r="E29" s="4"/>
      <c r="F29" s="4"/>
      <c r="G29" s="4"/>
    </row>
    <row r="30" spans="1:7" ht="12.75">
      <c r="A30" s="39"/>
      <c r="B30" s="39" t="s">
        <v>256</v>
      </c>
      <c r="C30" s="4"/>
      <c r="D30" s="4"/>
      <c r="E30" s="4"/>
      <c r="F30" s="4"/>
      <c r="G30" s="4"/>
    </row>
    <row r="31" spans="1:7" ht="12.75">
      <c r="A31" s="39"/>
      <c r="B31" s="39" t="s">
        <v>257</v>
      </c>
      <c r="C31" s="4"/>
      <c r="D31" s="4"/>
      <c r="E31" s="4"/>
      <c r="F31" s="4"/>
      <c r="G31" s="4"/>
    </row>
    <row r="32" spans="1:7" ht="12.75">
      <c r="A32" s="39"/>
      <c r="B32" s="39"/>
      <c r="C32" s="5"/>
      <c r="D32" s="5"/>
      <c r="E32" s="5"/>
      <c r="F32" s="5"/>
      <c r="G32" s="5"/>
    </row>
    <row r="33" spans="1:7" ht="12.75">
      <c r="A33" s="39"/>
      <c r="B33" s="44" t="s">
        <v>342</v>
      </c>
      <c r="C33" s="4">
        <f>C28+C30+C31</f>
        <v>1195000</v>
      </c>
      <c r="D33" s="4">
        <f>D28+D30+D31</f>
        <v>1835000</v>
      </c>
      <c r="E33" s="4">
        <f>E28+E30+E31</f>
        <v>2775000</v>
      </c>
      <c r="F33" s="4">
        <f>F28+F30+F31</f>
        <v>4500000</v>
      </c>
      <c r="G33" s="4">
        <f>G28+G30+G31</f>
        <v>8410000</v>
      </c>
    </row>
    <row r="34" spans="1:7" ht="12.75">
      <c r="A34" s="39"/>
      <c r="B34" s="39"/>
      <c r="C34" s="4"/>
      <c r="D34" s="4"/>
      <c r="E34" s="4"/>
      <c r="F34" s="4"/>
      <c r="G34" s="4"/>
    </row>
    <row r="35" spans="1:7" ht="12.75">
      <c r="A35" s="40"/>
      <c r="B35" s="39"/>
      <c r="C35" s="4"/>
      <c r="D35" s="4"/>
      <c r="E35" s="4"/>
      <c r="F35" s="4"/>
      <c r="G35" s="4"/>
    </row>
    <row r="36" spans="1:7" ht="12.75">
      <c r="A36" s="40" t="s">
        <v>344</v>
      </c>
      <c r="B36" s="45"/>
      <c r="C36" s="4"/>
      <c r="D36" s="4"/>
      <c r="E36" s="4"/>
      <c r="F36" s="4"/>
      <c r="G36" s="4"/>
    </row>
    <row r="37" spans="1:7" ht="12.75">
      <c r="A37" s="39"/>
      <c r="B37" s="39" t="s">
        <v>258</v>
      </c>
      <c r="C37" s="4"/>
      <c r="D37" s="4"/>
      <c r="E37" s="4"/>
      <c r="F37" s="4"/>
      <c r="G37" s="4"/>
    </row>
    <row r="38" spans="1:7" ht="12.75">
      <c r="A38" s="39"/>
      <c r="B38" s="39" t="s">
        <v>331</v>
      </c>
      <c r="C38" s="4">
        <f>'Cash Flow'!C43</f>
        <v>5000000</v>
      </c>
      <c r="D38" s="4">
        <f>'Cash Flow'!D43+C38</f>
        <v>5000000</v>
      </c>
      <c r="E38" s="4">
        <f>'Cash Flow'!E43+D38</f>
        <v>5000000</v>
      </c>
      <c r="F38" s="4">
        <f>'Cash Flow'!F43+E38</f>
        <v>5000000</v>
      </c>
      <c r="G38" s="4">
        <f>'Cash Flow'!G43+F38</f>
        <v>5000000</v>
      </c>
    </row>
    <row r="39" spans="1:7" ht="12.75">
      <c r="A39" s="39"/>
      <c r="B39" s="39" t="s">
        <v>332</v>
      </c>
      <c r="C39" s="4">
        <f>'Cash Flow'!C44</f>
        <v>0</v>
      </c>
      <c r="D39" s="4">
        <f>'Cash Flow'!D44+C39</f>
        <v>4000000</v>
      </c>
      <c r="E39" s="4">
        <f>'Cash Flow'!E44+D39</f>
        <v>4000000</v>
      </c>
      <c r="F39" s="4">
        <f>'Cash Flow'!F44+E39</f>
        <v>4000000</v>
      </c>
      <c r="G39" s="4">
        <f>'Cash Flow'!G44+F39</f>
        <v>4000000</v>
      </c>
    </row>
    <row r="40" spans="1:7" ht="12.75">
      <c r="A40" s="39"/>
      <c r="B40" s="39" t="s">
        <v>259</v>
      </c>
      <c r="C40" s="5">
        <f>C17-C33-C37-C38-C39</f>
        <v>-1361200.333333334</v>
      </c>
      <c r="D40" s="5">
        <f>D17-D33-D37-D38-D39</f>
        <v>-4612133.66666667</v>
      </c>
      <c r="E40" s="5">
        <f>E17-E33-E37-E38-E39</f>
        <v>-3195943.91116667</v>
      </c>
      <c r="F40" s="5">
        <f>F17-F33-F37-F38-F39</f>
        <v>2369439.7994583305</v>
      </c>
      <c r="G40" s="5">
        <f>G17-G33-G37-G38-G39</f>
        <v>9426938.380059503</v>
      </c>
    </row>
    <row r="41" spans="1:7" ht="12.75">
      <c r="A41" s="39"/>
      <c r="B41" s="39" t="s">
        <v>260</v>
      </c>
      <c r="C41" s="4">
        <f>SUM(C37:C40)</f>
        <v>3638799.666666666</v>
      </c>
      <c r="D41" s="4">
        <f>SUM(D37:D40)</f>
        <v>4387866.33333333</v>
      </c>
      <c r="E41" s="4">
        <f>SUM(E37:E40)</f>
        <v>5804056.08883333</v>
      </c>
      <c r="F41" s="4">
        <f>SUM(F37:F40)</f>
        <v>11369439.79945833</v>
      </c>
      <c r="G41" s="4">
        <f>SUM(G37:G40)</f>
        <v>18426938.380059503</v>
      </c>
    </row>
    <row r="42" spans="1:7" ht="12.75">
      <c r="A42" s="39"/>
      <c r="B42" s="39"/>
      <c r="C42" s="4"/>
      <c r="D42" s="4"/>
      <c r="E42" s="4"/>
      <c r="F42" s="4"/>
      <c r="G42" s="4"/>
    </row>
    <row r="43" spans="1:7" ht="13.5" thickBot="1">
      <c r="A43" s="39"/>
      <c r="B43" s="44" t="s">
        <v>343</v>
      </c>
      <c r="C43" s="47">
        <f>C33+C41</f>
        <v>4833799.666666666</v>
      </c>
      <c r="D43" s="47">
        <f>D33+D41</f>
        <v>6222866.33333333</v>
      </c>
      <c r="E43" s="47">
        <f>E33+E41</f>
        <v>8579056.08883333</v>
      </c>
      <c r="F43" s="47">
        <f>F33+F41</f>
        <v>15869439.79945833</v>
      </c>
      <c r="G43" s="47">
        <f>G33+G41</f>
        <v>26836938.380059503</v>
      </c>
    </row>
    <row r="44" spans="3:7" ht="16.5" thickTop="1">
      <c r="C44" s="4"/>
      <c r="D44" s="4"/>
      <c r="E44" s="4"/>
      <c r="F44" s="4"/>
      <c r="G44" s="4"/>
    </row>
    <row r="45" spans="1:7" ht="12.75">
      <c r="A45"/>
      <c r="B45"/>
      <c r="C45" s="4"/>
      <c r="D45" s="4"/>
      <c r="E45" s="4"/>
      <c r="F45" s="4"/>
      <c r="G45" s="4"/>
    </row>
    <row r="46" spans="1:7" ht="12.75">
      <c r="A46"/>
      <c r="B46"/>
      <c r="C46" s="4"/>
      <c r="D46" s="4"/>
      <c r="E46" s="4"/>
      <c r="F46" s="4"/>
      <c r="G46" s="4"/>
    </row>
    <row r="47" spans="1:7" ht="12.75">
      <c r="A47"/>
      <c r="B47"/>
      <c r="C47" s="4"/>
      <c r="D47" s="4"/>
      <c r="E47" s="4"/>
      <c r="F47" s="4"/>
      <c r="G47" s="4"/>
    </row>
    <row r="48" spans="1:7" ht="12.75">
      <c r="A48"/>
      <c r="B48"/>
      <c r="C48" s="4"/>
      <c r="D48" s="4"/>
      <c r="E48" s="4"/>
      <c r="F48" s="4"/>
      <c r="G48" s="4"/>
    </row>
    <row r="49" spans="1:7" ht="12.75">
      <c r="A49"/>
      <c r="B49"/>
      <c r="C49" s="4"/>
      <c r="D49" s="4"/>
      <c r="E49" s="4"/>
      <c r="F49" s="4"/>
      <c r="G49" s="4"/>
    </row>
    <row r="50" spans="1:7" ht="12.75">
      <c r="A50"/>
      <c r="B50"/>
      <c r="C50" s="4"/>
      <c r="D50" s="4"/>
      <c r="E50" s="4"/>
      <c r="F50" s="4"/>
      <c r="G50" s="4"/>
    </row>
    <row r="51" spans="1:7" ht="12.75">
      <c r="A51"/>
      <c r="B51"/>
      <c r="C51" s="4"/>
      <c r="D51" s="4"/>
      <c r="E51" s="4"/>
      <c r="F51" s="4"/>
      <c r="G51" s="4"/>
    </row>
    <row r="52" spans="1:7" ht="12.75">
      <c r="A52"/>
      <c r="B52"/>
      <c r="C52" s="4"/>
      <c r="D52" s="4"/>
      <c r="E52" s="4"/>
      <c r="F52" s="4"/>
      <c r="G52" s="4"/>
    </row>
    <row r="53" spans="1:7" ht="12.75">
      <c r="A53"/>
      <c r="B53"/>
      <c r="C53" s="4"/>
      <c r="D53" s="4"/>
      <c r="E53" s="4"/>
      <c r="F53" s="4"/>
      <c r="G53" s="4"/>
    </row>
    <row r="54" spans="1:7" ht="12.75">
      <c r="A54"/>
      <c r="B54"/>
      <c r="C54" s="4"/>
      <c r="D54" s="4"/>
      <c r="E54" s="4"/>
      <c r="F54" s="4"/>
      <c r="G54" s="4"/>
    </row>
    <row r="55" spans="1:7" ht="12.75">
      <c r="A55"/>
      <c r="B55"/>
      <c r="C55" s="4"/>
      <c r="D55" s="4"/>
      <c r="E55" s="4"/>
      <c r="F55" s="4"/>
      <c r="G55" s="4"/>
    </row>
    <row r="56" spans="3:7" ht="15.75">
      <c r="C56" s="4"/>
      <c r="D56" s="4"/>
      <c r="E56" s="4"/>
      <c r="F56" s="4"/>
      <c r="G56" s="4"/>
    </row>
    <row r="57" spans="3:7" ht="15.75">
      <c r="C57" s="4"/>
      <c r="D57" s="4"/>
      <c r="E57" s="4"/>
      <c r="F57" s="4"/>
      <c r="G57" s="4"/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&amp;C&amp;"Arial,Bold"&amp;12Proforma Balance Sheet&amp;10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L258"/>
  <sheetViews>
    <sheetView zoomScalePageLayoutView="0" workbookViewId="0" topLeftCell="A2">
      <pane ySplit="510" topLeftCell="A28" activePane="bottomLeft" state="split"/>
      <selection pane="topLeft" activeCell="E2" sqref="E1:I16384"/>
      <selection pane="bottomLeft" activeCell="C3" sqref="C3"/>
    </sheetView>
  </sheetViews>
  <sheetFormatPr defaultColWidth="9.140625" defaultRowHeight="12.75"/>
  <cols>
    <col min="1" max="2" width="2.7109375" style="1" customWidth="1"/>
    <col min="3" max="3" width="28.140625" style="1" customWidth="1"/>
    <col min="4" max="4" width="8.57421875" style="1" customWidth="1"/>
    <col min="5" max="9" width="10.7109375" style="1" customWidth="1"/>
    <col min="10" max="10" width="9.140625" style="1" customWidth="1"/>
  </cols>
  <sheetData>
    <row r="3" ht="12.75">
      <c r="E3" s="6">
        <v>2007</v>
      </c>
    </row>
    <row r="4" spans="4:9" ht="12.75">
      <c r="D4" s="6" t="s">
        <v>169</v>
      </c>
      <c r="E4" s="6" t="s">
        <v>363</v>
      </c>
      <c r="F4" s="6">
        <f>E3+1</f>
        <v>2008</v>
      </c>
      <c r="G4" s="72">
        <f>F4+1</f>
        <v>2009</v>
      </c>
      <c r="H4" s="72">
        <f>G4+1</f>
        <v>2010</v>
      </c>
      <c r="I4" s="72">
        <f>H4+1</f>
        <v>2011</v>
      </c>
    </row>
    <row r="5" ht="15.75">
      <c r="A5" s="19" t="s">
        <v>42</v>
      </c>
    </row>
    <row r="6" spans="2:9" ht="12.75">
      <c r="B6" s="1" t="s">
        <v>139</v>
      </c>
      <c r="E6" s="4">
        <f>Headcount!G140</f>
        <v>11</v>
      </c>
      <c r="F6" s="4">
        <f>Headcount!H140</f>
        <v>19</v>
      </c>
      <c r="G6" s="4">
        <f>Headcount!I140</f>
        <v>23</v>
      </c>
      <c r="H6" s="4">
        <f>Headcount!J140</f>
        <v>26</v>
      </c>
      <c r="I6" s="4">
        <f>Headcount!K140</f>
        <v>27</v>
      </c>
    </row>
    <row r="7" spans="2:9" ht="12.75">
      <c r="B7" s="1" t="s">
        <v>192</v>
      </c>
      <c r="E7" s="26">
        <f>E6/Bud_HC</f>
        <v>0.3548387096774194</v>
      </c>
      <c r="F7" s="26">
        <f>F6/Bud_HC</f>
        <v>0.36538461538461536</v>
      </c>
      <c r="G7" s="26">
        <f>G6/Bud_HC</f>
        <v>0.3333333333333333</v>
      </c>
      <c r="H7" s="26">
        <f>H6/Bud_HC</f>
        <v>0.3058823529411765</v>
      </c>
      <c r="I7" s="26">
        <f>I6/Bud_HC</f>
        <v>0.27</v>
      </c>
    </row>
    <row r="8" spans="5:9" ht="12.75">
      <c r="E8" s="4"/>
      <c r="F8" s="4"/>
      <c r="G8" s="4"/>
      <c r="H8" s="4"/>
      <c r="I8" s="4"/>
    </row>
    <row r="9" spans="1:9" ht="12.75">
      <c r="A9" s="2" t="s">
        <v>140</v>
      </c>
      <c r="E9" s="4"/>
      <c r="F9" s="4"/>
      <c r="G9" s="4"/>
      <c r="H9" s="4"/>
      <c r="I9" s="4"/>
    </row>
    <row r="10" spans="2:9" ht="12.75">
      <c r="B10" s="1" t="s">
        <v>141</v>
      </c>
      <c r="E10" s="4"/>
      <c r="F10" s="4"/>
      <c r="G10" s="4"/>
      <c r="H10" s="4"/>
      <c r="I10" s="4"/>
    </row>
    <row r="11" spans="3:9" ht="12.75">
      <c r="C11" s="1" t="s">
        <v>142</v>
      </c>
      <c r="E11" s="4">
        <f>Headcount!G135</f>
        <v>333750</v>
      </c>
      <c r="F11" s="4">
        <f>Headcount!H135</f>
        <v>1329791.6666666667</v>
      </c>
      <c r="G11" s="4">
        <f>Headcount!I135</f>
        <v>1842581.25</v>
      </c>
      <c r="H11" s="4">
        <f>Headcount!J135</f>
        <v>2173531.8125</v>
      </c>
      <c r="I11" s="4">
        <f>Headcount!K135</f>
        <v>2374708.403125</v>
      </c>
    </row>
    <row r="12" spans="3:12" ht="12.75">
      <c r="C12" s="1" t="s">
        <v>143</v>
      </c>
      <c r="D12" s="1">
        <v>0.08</v>
      </c>
      <c r="E12" s="4">
        <f>Bud_Unit_Cost*E11</f>
        <v>26700</v>
      </c>
      <c r="F12" s="4">
        <f>Bud_Unit_Cost*F11</f>
        <v>106383.33333333334</v>
      </c>
      <c r="G12" s="4">
        <f>Bud_Unit_Cost*G11</f>
        <v>147406.5</v>
      </c>
      <c r="H12" s="4">
        <f>Bud_Unit_Cost*H11</f>
        <v>173882.545</v>
      </c>
      <c r="I12" s="4">
        <f>Bud_Unit_Cost*I11</f>
        <v>189976.67225000003</v>
      </c>
      <c r="L12" s="1"/>
    </row>
    <row r="13" spans="3:12" ht="12.75">
      <c r="C13" s="1" t="s">
        <v>144</v>
      </c>
      <c r="D13" s="20">
        <v>0.08</v>
      </c>
      <c r="E13" s="5">
        <f>Bud_Unit_Cost*E11</f>
        <v>26700</v>
      </c>
      <c r="F13" s="5">
        <f>Bud_Unit_Cost*F11</f>
        <v>106383.33333333334</v>
      </c>
      <c r="G13" s="5">
        <f>Bud_Unit_Cost*G11</f>
        <v>147406.5</v>
      </c>
      <c r="H13" s="5">
        <f>Bud_Unit_Cost*H11</f>
        <v>173882.545</v>
      </c>
      <c r="I13" s="5">
        <f>Bud_Unit_Cost*I11</f>
        <v>189976.67225000003</v>
      </c>
      <c r="L13" s="1"/>
    </row>
    <row r="14" spans="2:9" ht="12.75">
      <c r="B14" s="1" t="s">
        <v>145</v>
      </c>
      <c r="E14" s="4">
        <f>SUM(E11:E13)</f>
        <v>387150</v>
      </c>
      <c r="F14" s="4">
        <f>SUM(F11:F13)</f>
        <v>1542558.3333333333</v>
      </c>
      <c r="G14" s="4">
        <f>SUM(G11:G13)</f>
        <v>2137394.25</v>
      </c>
      <c r="H14" s="4">
        <f>SUM(H11:H13)</f>
        <v>2521296.9025</v>
      </c>
      <c r="I14" s="4">
        <f>SUM(I11:I13)</f>
        <v>2754661.747625</v>
      </c>
    </row>
    <row r="15" spans="5:9" ht="12.75">
      <c r="E15" s="4"/>
      <c r="F15" s="4"/>
      <c r="G15" s="4"/>
      <c r="H15" s="4"/>
      <c r="I15" s="4"/>
    </row>
    <row r="16" spans="2:9" ht="12.75">
      <c r="B16" s="1" t="s">
        <v>146</v>
      </c>
      <c r="D16" s="4"/>
      <c r="E16" s="4">
        <f>'Cap Exp'!E32</f>
        <v>89150</v>
      </c>
      <c r="F16" s="4">
        <f>'Cap Exp'!F32</f>
        <v>128700</v>
      </c>
      <c r="G16" s="4">
        <f>'Cap Exp'!G32</f>
        <v>98000</v>
      </c>
      <c r="H16" s="4">
        <f>'Cap Exp'!H32</f>
        <v>15750</v>
      </c>
      <c r="I16" s="4">
        <f>'Cap Exp'!I32</f>
        <v>5250</v>
      </c>
    </row>
    <row r="17" spans="2:9" ht="12.75">
      <c r="B17" s="1" t="s">
        <v>147</v>
      </c>
      <c r="D17" s="4">
        <v>750</v>
      </c>
      <c r="E17" s="4">
        <v>8500</v>
      </c>
      <c r="F17" s="4">
        <v>15000</v>
      </c>
      <c r="G17" s="4">
        <f aca="true" t="shared" si="0" ref="E17:I18">Bud_Unit_Cost*Bud_RD_HC</f>
        <v>17250</v>
      </c>
      <c r="H17" s="4">
        <f t="shared" si="0"/>
        <v>19500</v>
      </c>
      <c r="I17" s="4">
        <f t="shared" si="0"/>
        <v>20250</v>
      </c>
    </row>
    <row r="18" spans="2:9" ht="12.75">
      <c r="B18" s="1" t="s">
        <v>148</v>
      </c>
      <c r="D18" s="4">
        <v>1200</v>
      </c>
      <c r="E18" s="4">
        <f t="shared" si="0"/>
        <v>13200</v>
      </c>
      <c r="F18" s="4">
        <f t="shared" si="0"/>
        <v>22800</v>
      </c>
      <c r="G18" s="4">
        <f t="shared" si="0"/>
        <v>27600</v>
      </c>
      <c r="H18" s="4">
        <f t="shared" si="0"/>
        <v>31200</v>
      </c>
      <c r="I18" s="4">
        <f t="shared" si="0"/>
        <v>32400</v>
      </c>
    </row>
    <row r="19" spans="2:9" ht="12.75">
      <c r="B19" s="1" t="s">
        <v>318</v>
      </c>
      <c r="D19" s="4"/>
      <c r="E19" s="4">
        <v>25000</v>
      </c>
      <c r="F19" s="4">
        <v>25000</v>
      </c>
      <c r="G19" s="4">
        <v>45000</v>
      </c>
      <c r="H19" s="4">
        <v>65000</v>
      </c>
      <c r="I19" s="4">
        <v>85000</v>
      </c>
    </row>
    <row r="20" spans="2:9" ht="12.75">
      <c r="B20" s="1" t="s">
        <v>19</v>
      </c>
      <c r="D20" s="4"/>
      <c r="E20" s="4">
        <v>100000</v>
      </c>
      <c r="F20" s="4">
        <v>100000</v>
      </c>
      <c r="G20" s="4">
        <v>100000</v>
      </c>
      <c r="H20" s="4">
        <v>100000</v>
      </c>
      <c r="I20" s="4">
        <v>100000</v>
      </c>
    </row>
    <row r="21" spans="2:9" ht="12.75">
      <c r="B21" s="1" t="s">
        <v>59</v>
      </c>
      <c r="D21" s="4"/>
      <c r="E21" s="4"/>
      <c r="F21" s="4"/>
      <c r="G21" s="4"/>
      <c r="H21" s="4"/>
      <c r="I21" s="4"/>
    </row>
    <row r="22" spans="2:9" ht="12.75">
      <c r="B22" s="1" t="s">
        <v>261</v>
      </c>
      <c r="D22" s="4"/>
      <c r="E22" s="4"/>
      <c r="F22" s="4"/>
      <c r="G22" s="4"/>
      <c r="H22" s="4"/>
      <c r="I22" s="4"/>
    </row>
    <row r="23" spans="2:9" ht="12.75">
      <c r="B23" s="1" t="s">
        <v>159</v>
      </c>
      <c r="D23" s="4"/>
      <c r="E23" s="4"/>
      <c r="F23" s="4"/>
      <c r="G23" s="4"/>
      <c r="H23" s="4"/>
      <c r="I23" s="4"/>
    </row>
    <row r="24" spans="2:9" ht="12.75">
      <c r="B24" s="1" t="s">
        <v>160</v>
      </c>
      <c r="D24" s="4"/>
      <c r="E24" s="4"/>
      <c r="F24" s="4"/>
      <c r="G24" s="4"/>
      <c r="H24" s="4"/>
      <c r="I24" s="4"/>
    </row>
    <row r="25" spans="2:9" ht="12.75">
      <c r="B25" s="1" t="s">
        <v>206</v>
      </c>
      <c r="D25" s="4"/>
      <c r="E25" s="4">
        <v>100000</v>
      </c>
      <c r="F25" s="4">
        <v>150000</v>
      </c>
      <c r="G25" s="4">
        <v>225000</v>
      </c>
      <c r="H25" s="4">
        <v>300000</v>
      </c>
      <c r="I25" s="4">
        <v>450000</v>
      </c>
    </row>
    <row r="26" spans="2:9" ht="12.75">
      <c r="B26" s="1" t="s">
        <v>149</v>
      </c>
      <c r="D26" s="4">
        <f>'Misc Exp'!D10</f>
        <v>1368</v>
      </c>
      <c r="E26" s="4">
        <f>Bud_Unit_Cost*Bud_RD_HC</f>
        <v>15048</v>
      </c>
      <c r="F26" s="4">
        <f>Bud_Unit_Cost*Bud_RD_HC</f>
        <v>25992</v>
      </c>
      <c r="G26" s="4">
        <f>Bud_Unit_Cost*Bud_RD_HC</f>
        <v>31464</v>
      </c>
      <c r="H26" s="4">
        <f>Bud_Unit_Cost*Bud_RD_HC</f>
        <v>35568</v>
      </c>
      <c r="I26" s="4">
        <f>Bud_Unit_Cost*Bud_RD_HC</f>
        <v>36936</v>
      </c>
    </row>
    <row r="27" spans="2:9" ht="12.75">
      <c r="B27" s="1" t="s">
        <v>150</v>
      </c>
      <c r="D27" s="4">
        <f>'Misc Exp'!D18</f>
        <v>876</v>
      </c>
      <c r="E27" s="4">
        <f aca="true" t="shared" si="1" ref="E27:I29">Bud_Unit_Cost*Bud_RD_HC</f>
        <v>9636</v>
      </c>
      <c r="F27" s="4">
        <f t="shared" si="1"/>
        <v>16644</v>
      </c>
      <c r="G27" s="4">
        <f t="shared" si="1"/>
        <v>20148</v>
      </c>
      <c r="H27" s="4">
        <f t="shared" si="1"/>
        <v>22776</v>
      </c>
      <c r="I27" s="4">
        <f t="shared" si="1"/>
        <v>23652</v>
      </c>
    </row>
    <row r="28" spans="2:9" ht="12.75">
      <c r="B28" s="1" t="s">
        <v>151</v>
      </c>
      <c r="D28" s="4">
        <f>'Misc Exp'!D23</f>
        <v>2808</v>
      </c>
      <c r="E28" s="4">
        <f t="shared" si="1"/>
        <v>30888</v>
      </c>
      <c r="F28" s="4">
        <f t="shared" si="1"/>
        <v>53352</v>
      </c>
      <c r="G28" s="4">
        <f t="shared" si="1"/>
        <v>64584</v>
      </c>
      <c r="H28" s="4">
        <f t="shared" si="1"/>
        <v>73008</v>
      </c>
      <c r="I28" s="4">
        <f t="shared" si="1"/>
        <v>75816</v>
      </c>
    </row>
    <row r="29" spans="2:9" ht="12.75">
      <c r="B29" s="1" t="s">
        <v>152</v>
      </c>
      <c r="D29" s="4">
        <f>'Misc Exp'!D27</f>
        <v>600</v>
      </c>
      <c r="E29" s="5">
        <f t="shared" si="1"/>
        <v>6600</v>
      </c>
      <c r="F29" s="5">
        <f t="shared" si="1"/>
        <v>11400</v>
      </c>
      <c r="G29" s="5">
        <f t="shared" si="1"/>
        <v>13800</v>
      </c>
      <c r="H29" s="5">
        <f t="shared" si="1"/>
        <v>15600</v>
      </c>
      <c r="I29" s="5">
        <f t="shared" si="1"/>
        <v>16200</v>
      </c>
    </row>
    <row r="30" spans="2:9" ht="12.75">
      <c r="B30" s="1" t="s">
        <v>153</v>
      </c>
      <c r="D30" s="4"/>
      <c r="E30" s="8">
        <f>SUM(E16:E29)</f>
        <v>398022</v>
      </c>
      <c r="F30" s="8">
        <f>SUM(F16:F29)</f>
        <v>548888</v>
      </c>
      <c r="G30" s="8">
        <f>SUM(G16:G29)</f>
        <v>642846</v>
      </c>
      <c r="H30" s="8">
        <f>SUM(H16:H29)</f>
        <v>678402</v>
      </c>
      <c r="I30" s="8">
        <f>SUM(I16:I29)</f>
        <v>845504</v>
      </c>
    </row>
    <row r="31" spans="2:9" ht="12.75">
      <c r="B31" s="1" t="s">
        <v>154</v>
      </c>
      <c r="D31" s="4"/>
      <c r="E31" s="4">
        <f>E14+E30</f>
        <v>785172</v>
      </c>
      <c r="F31" s="4">
        <f>F14+F30</f>
        <v>2091446.3333333333</v>
      </c>
      <c r="G31" s="4">
        <f>G14+G30</f>
        <v>2780240.25</v>
      </c>
      <c r="H31" s="4">
        <f>H14+H30</f>
        <v>3199698.9025</v>
      </c>
      <c r="I31" s="4">
        <f>I14+I30</f>
        <v>3600165.747625</v>
      </c>
    </row>
    <row r="32" spans="3:9" ht="12.75">
      <c r="C32" s="1" t="s">
        <v>155</v>
      </c>
      <c r="D32" s="4"/>
      <c r="E32" s="5">
        <f>E7*(Total_Alloc_Exp+Rent1999)</f>
        <v>831301.935483871</v>
      </c>
      <c r="F32" s="5">
        <f>F7*(Total_Alloc_Exp+Rent2000)</f>
        <v>1695647.6923076923</v>
      </c>
      <c r="G32" s="5">
        <f>G7*(Total_Alloc_Exp+Rent2001)</f>
        <v>1533040</v>
      </c>
      <c r="H32" s="5">
        <f>H7*(Total_Alloc_Exp+Rent2002)</f>
        <v>2602212.1411764706</v>
      </c>
      <c r="I32" s="5">
        <f>I7*(Total_Alloc_Exp+Rent2003)</f>
        <v>2669552.64</v>
      </c>
    </row>
    <row r="33" spans="1:9" ht="12.75">
      <c r="A33" s="1" t="s">
        <v>156</v>
      </c>
      <c r="E33" s="4">
        <f>E31+E32</f>
        <v>1616473.935483871</v>
      </c>
      <c r="F33" s="4">
        <f>F31+F32</f>
        <v>3787094.0256410255</v>
      </c>
      <c r="G33" s="4">
        <f>G31+G32</f>
        <v>4313280.25</v>
      </c>
      <c r="H33" s="4">
        <f>H31+H32</f>
        <v>5801911.04367647</v>
      </c>
      <c r="I33" s="4">
        <f>I31+I32</f>
        <v>6269718.3876249995</v>
      </c>
    </row>
    <row r="34" spans="5:9" ht="12.75">
      <c r="E34" s="4"/>
      <c r="F34" s="4"/>
      <c r="G34" s="4"/>
      <c r="H34" s="4"/>
      <c r="I34" s="4"/>
    </row>
    <row r="35" spans="5:9" ht="12.75">
      <c r="E35" s="4"/>
      <c r="F35" s="4"/>
      <c r="G35" s="4"/>
      <c r="H35" s="4"/>
      <c r="I35" s="4"/>
    </row>
    <row r="36" spans="1:9" ht="15.75">
      <c r="A36" s="19" t="s">
        <v>120</v>
      </c>
      <c r="E36" s="4"/>
      <c r="F36" s="4"/>
      <c r="G36" s="4"/>
      <c r="H36" s="4"/>
      <c r="I36" s="4"/>
    </row>
    <row r="37" spans="2:9" ht="12.75">
      <c r="B37" s="1" t="s">
        <v>139</v>
      </c>
      <c r="E37" s="4">
        <f>Headcount!G146</f>
        <v>5</v>
      </c>
      <c r="F37" s="4">
        <f>Headcount!H146</f>
        <v>8</v>
      </c>
      <c r="G37" s="4">
        <f>Headcount!I146</f>
        <v>12</v>
      </c>
      <c r="H37" s="4">
        <f>Headcount!J146</f>
        <v>16</v>
      </c>
      <c r="I37" s="4">
        <f>Headcount!K146</f>
        <v>18</v>
      </c>
    </row>
    <row r="38" spans="2:9" ht="12.75">
      <c r="B38" s="1" t="s">
        <v>192</v>
      </c>
      <c r="E38" s="26">
        <f>E37/Bud_HC</f>
        <v>0.16129032258064516</v>
      </c>
      <c r="F38" s="26">
        <f>F37/Bud_HC</f>
        <v>0.15384615384615385</v>
      </c>
      <c r="G38" s="26">
        <f>G37/Bud_HC</f>
        <v>0.17391304347826086</v>
      </c>
      <c r="H38" s="26">
        <f>H37/Bud_HC</f>
        <v>0.18823529411764706</v>
      </c>
      <c r="I38" s="26">
        <f>I37/Bud_HC</f>
        <v>0.18</v>
      </c>
    </row>
    <row r="39" spans="5:9" ht="12.75">
      <c r="E39" s="4"/>
      <c r="F39" s="4"/>
      <c r="G39" s="4"/>
      <c r="H39" s="4"/>
      <c r="I39" s="4"/>
    </row>
    <row r="40" spans="1:9" ht="12.75">
      <c r="A40" s="2" t="s">
        <v>140</v>
      </c>
      <c r="E40" s="4"/>
      <c r="F40" s="4"/>
      <c r="G40" s="4"/>
      <c r="H40" s="4"/>
      <c r="I40" s="4"/>
    </row>
    <row r="41" ht="12.75">
      <c r="B41" s="1" t="s">
        <v>141</v>
      </c>
    </row>
    <row r="42" spans="3:9" ht="12.75">
      <c r="C42" s="1" t="s">
        <v>142</v>
      </c>
      <c r="E42" s="4">
        <f>Headcount!G132</f>
        <v>188500</v>
      </c>
      <c r="F42" s="4">
        <f>Headcount!H132</f>
        <v>633100</v>
      </c>
      <c r="G42" s="4">
        <f>Headcount!I132</f>
        <v>1112100</v>
      </c>
      <c r="H42" s="4">
        <f>Headcount!J132</f>
        <v>1456705</v>
      </c>
      <c r="I42" s="4">
        <f>Headcount!K132</f>
        <v>1631540.25</v>
      </c>
    </row>
    <row r="43" spans="3:9" ht="12.75">
      <c r="C43" s="1" t="s">
        <v>143</v>
      </c>
      <c r="D43" s="1">
        <v>0.08</v>
      </c>
      <c r="E43" s="4">
        <f>Bud_Unit_Cost*E42</f>
        <v>15080</v>
      </c>
      <c r="F43" s="4">
        <f>Bud_Unit_Cost*F42</f>
        <v>50648</v>
      </c>
      <c r="G43" s="4">
        <f>Bud_Unit_Cost*G42</f>
        <v>88968</v>
      </c>
      <c r="H43" s="4">
        <f>Bud_Unit_Cost*H42</f>
        <v>116536.40000000001</v>
      </c>
      <c r="I43" s="4">
        <f>Bud_Unit_Cost*I42</f>
        <v>130523.22</v>
      </c>
    </row>
    <row r="44" spans="3:9" ht="12.75">
      <c r="C44" s="1" t="s">
        <v>144</v>
      </c>
      <c r="D44" s="1">
        <v>0.08</v>
      </c>
      <c r="E44" s="5">
        <f>Bud_Unit_Cost*E42</f>
        <v>15080</v>
      </c>
      <c r="F44" s="5">
        <f>Bud_Unit_Cost*F42</f>
        <v>50648</v>
      </c>
      <c r="G44" s="5">
        <f>Bud_Unit_Cost*G42</f>
        <v>88968</v>
      </c>
      <c r="H44" s="5">
        <f>Bud_Unit_Cost*H42</f>
        <v>116536.40000000001</v>
      </c>
      <c r="I44" s="5">
        <f>Bud_Unit_Cost*I42</f>
        <v>130523.22</v>
      </c>
    </row>
    <row r="45" spans="2:9" ht="12.75">
      <c r="B45" s="1" t="s">
        <v>145</v>
      </c>
      <c r="E45" s="4">
        <f>SUM(E42:E44)</f>
        <v>218660</v>
      </c>
      <c r="F45" s="4">
        <f>SUM(F42:F44)</f>
        <v>734396</v>
      </c>
      <c r="G45" s="4">
        <f>SUM(G42:G44)</f>
        <v>1290036</v>
      </c>
      <c r="H45" s="4">
        <f>SUM(H42:H44)</f>
        <v>1689777.7999999998</v>
      </c>
      <c r="I45" s="4">
        <f>SUM(I42:I44)</f>
        <v>1892586.69</v>
      </c>
    </row>
    <row r="46" spans="5:9" ht="12.75">
      <c r="E46" s="4"/>
      <c r="F46" s="4"/>
      <c r="G46" s="4"/>
      <c r="H46" s="4"/>
      <c r="I46" s="4"/>
    </row>
    <row r="47" spans="2:9" ht="12.75">
      <c r="B47" s="1" t="s">
        <v>146</v>
      </c>
      <c r="E47" s="4">
        <f>'Cap Exp'!E68</f>
        <v>19550</v>
      </c>
      <c r="F47" s="4">
        <f>'Cap Exp'!F68</f>
        <v>10350</v>
      </c>
      <c r="G47" s="4">
        <f>'Cap Exp'!G68</f>
        <v>16100</v>
      </c>
      <c r="H47" s="4">
        <f>'Cap Exp'!H68</f>
        <v>15500</v>
      </c>
      <c r="I47" s="4">
        <f>'Cap Exp'!I68</f>
        <v>6900</v>
      </c>
    </row>
    <row r="48" spans="2:9" ht="12.75">
      <c r="B48" s="1" t="s">
        <v>147</v>
      </c>
      <c r="D48" s="4">
        <v>1200</v>
      </c>
      <c r="E48" s="4">
        <f>Bud_Unit_Cost*Bud_GA_HC</f>
        <v>6000</v>
      </c>
      <c r="F48" s="4">
        <f>Bud_Unit_Cost*Bud_GA_HC</f>
        <v>9600</v>
      </c>
      <c r="G48" s="4">
        <f>Bud_Unit_Cost*Bud_GA_HC</f>
        <v>14400</v>
      </c>
      <c r="H48" s="4">
        <f>Bud_Unit_Cost*Bud_GA_HC</f>
        <v>19200</v>
      </c>
      <c r="I48" s="4">
        <f>Bud_Unit_Cost*Bud_GA_HC</f>
        <v>21600</v>
      </c>
    </row>
    <row r="49" spans="2:9" ht="12.75">
      <c r="B49" s="1" t="s">
        <v>148</v>
      </c>
      <c r="D49" s="4"/>
      <c r="E49" s="4"/>
      <c r="F49" s="4"/>
      <c r="G49" s="4"/>
      <c r="H49" s="4"/>
      <c r="I49" s="4"/>
    </row>
    <row r="50" spans="2:9" ht="12.75">
      <c r="B50" s="1" t="s">
        <v>318</v>
      </c>
      <c r="D50" s="4"/>
      <c r="E50" s="4"/>
      <c r="F50" s="4"/>
      <c r="G50" s="4"/>
      <c r="H50" s="4"/>
      <c r="I50" s="4"/>
    </row>
    <row r="51" spans="2:9" ht="12.75">
      <c r="B51" s="1" t="s">
        <v>19</v>
      </c>
      <c r="D51" s="4"/>
      <c r="E51" s="4">
        <v>100000</v>
      </c>
      <c r="F51" s="4">
        <v>100000</v>
      </c>
      <c r="G51" s="4"/>
      <c r="H51" s="4"/>
      <c r="I51" s="4"/>
    </row>
    <row r="52" spans="2:9" ht="12.75">
      <c r="B52" s="1" t="s">
        <v>157</v>
      </c>
      <c r="D52" s="4"/>
      <c r="E52" s="4"/>
      <c r="F52" s="4"/>
      <c r="G52" s="4"/>
      <c r="H52" s="4"/>
      <c r="I52" s="4"/>
    </row>
    <row r="53" spans="2:9" ht="12.75">
      <c r="B53" s="1" t="s">
        <v>158</v>
      </c>
      <c r="D53" s="4"/>
      <c r="E53" s="4">
        <v>65000</v>
      </c>
      <c r="F53" s="4">
        <v>85000</v>
      </c>
      <c r="G53" s="4">
        <v>100000</v>
      </c>
      <c r="H53" s="4">
        <v>120000</v>
      </c>
      <c r="I53" s="4">
        <v>120000</v>
      </c>
    </row>
    <row r="54" spans="2:9" ht="12.75">
      <c r="B54" s="1" t="s">
        <v>159</v>
      </c>
      <c r="D54" s="4"/>
      <c r="E54" s="4">
        <v>30000</v>
      </c>
      <c r="F54" s="4">
        <v>50000</v>
      </c>
      <c r="G54" s="4">
        <v>70000</v>
      </c>
      <c r="H54" s="4">
        <v>80000</v>
      </c>
      <c r="I54" s="4">
        <v>100000</v>
      </c>
    </row>
    <row r="55" spans="2:9" ht="12.75">
      <c r="B55" s="1" t="s">
        <v>160</v>
      </c>
      <c r="D55" s="4"/>
      <c r="E55" s="4">
        <v>10000</v>
      </c>
      <c r="F55" s="4"/>
      <c r="G55" s="4"/>
      <c r="H55" s="4"/>
      <c r="I55" s="4"/>
    </row>
    <row r="56" spans="2:4" ht="12.75">
      <c r="B56" s="1" t="s">
        <v>161</v>
      </c>
      <c r="D56" s="4"/>
    </row>
    <row r="57" spans="2:9" ht="12.75">
      <c r="B57" s="1" t="s">
        <v>162</v>
      </c>
      <c r="D57" s="4">
        <f>'Misc Exp'!D10</f>
        <v>1368</v>
      </c>
      <c r="E57" s="4">
        <f>Bud_Unit_Cost*Bud_GA_HC</f>
        <v>6840</v>
      </c>
      <c r="F57" s="4">
        <f>Bud_Unit_Cost*Bud_GA_HC</f>
        <v>10944</v>
      </c>
      <c r="G57" s="4">
        <f>Bud_Unit_Cost*Bud_GA_HC</f>
        <v>16416</v>
      </c>
      <c r="H57" s="4">
        <f>Bud_Unit_Cost*Bud_GA_HC</f>
        <v>21888</v>
      </c>
      <c r="I57" s="4">
        <f>Bud_Unit_Cost*Bud_GA_HC</f>
        <v>24624</v>
      </c>
    </row>
    <row r="58" spans="2:9" ht="12.75">
      <c r="B58" s="1" t="s">
        <v>150</v>
      </c>
      <c r="D58" s="4">
        <f>'Misc Exp'!D18</f>
        <v>876</v>
      </c>
      <c r="E58" s="4">
        <f aca="true" t="shared" si="2" ref="E58:I60">Bud_Unit_Cost*Bud_GA_HC</f>
        <v>4380</v>
      </c>
      <c r="F58" s="4">
        <f t="shared" si="2"/>
        <v>7008</v>
      </c>
      <c r="G58" s="4">
        <f t="shared" si="2"/>
        <v>10512</v>
      </c>
      <c r="H58" s="4">
        <f t="shared" si="2"/>
        <v>14016</v>
      </c>
      <c r="I58" s="4">
        <f t="shared" si="2"/>
        <v>15768</v>
      </c>
    </row>
    <row r="59" spans="2:9" ht="12.75">
      <c r="B59" s="1" t="s">
        <v>151</v>
      </c>
      <c r="D59" s="4">
        <f>'Misc Exp'!D23</f>
        <v>2808</v>
      </c>
      <c r="E59" s="4">
        <f t="shared" si="2"/>
        <v>14040</v>
      </c>
      <c r="F59" s="4">
        <f t="shared" si="2"/>
        <v>22464</v>
      </c>
      <c r="G59" s="4">
        <f t="shared" si="2"/>
        <v>33696</v>
      </c>
      <c r="H59" s="4">
        <f t="shared" si="2"/>
        <v>44928</v>
      </c>
      <c r="I59" s="4">
        <f t="shared" si="2"/>
        <v>50544</v>
      </c>
    </row>
    <row r="60" spans="2:9" ht="12.75">
      <c r="B60" s="1" t="s">
        <v>152</v>
      </c>
      <c r="D60" s="4">
        <f>'Misc Exp'!D27</f>
        <v>600</v>
      </c>
      <c r="E60" s="5">
        <f t="shared" si="2"/>
        <v>3000</v>
      </c>
      <c r="F60" s="5">
        <f t="shared" si="2"/>
        <v>4800</v>
      </c>
      <c r="G60" s="5">
        <f t="shared" si="2"/>
        <v>7200</v>
      </c>
      <c r="H60" s="5">
        <f t="shared" si="2"/>
        <v>9600</v>
      </c>
      <c r="I60" s="5">
        <f t="shared" si="2"/>
        <v>10800</v>
      </c>
    </row>
    <row r="61" spans="2:9" ht="12.75">
      <c r="B61" s="1" t="s">
        <v>163</v>
      </c>
      <c r="E61" s="8">
        <f>SUM(E47:E60)</f>
        <v>258810</v>
      </c>
      <c r="F61" s="8">
        <f>SUM(F47:F60)</f>
        <v>300166</v>
      </c>
      <c r="G61" s="8">
        <f>SUM(G47:G60)</f>
        <v>268324</v>
      </c>
      <c r="H61" s="8">
        <f>SUM(H47:H60)</f>
        <v>325132</v>
      </c>
      <c r="I61" s="8">
        <f>SUM(I47:I60)</f>
        <v>350236</v>
      </c>
    </row>
    <row r="62" spans="2:9" ht="12.75">
      <c r="B62" s="1" t="s">
        <v>164</v>
      </c>
      <c r="E62" s="4">
        <f>E45+E61</f>
        <v>477470</v>
      </c>
      <c r="F62" s="4">
        <f>F45+F61</f>
        <v>1034562</v>
      </c>
      <c r="G62" s="4">
        <f>G45+G61</f>
        <v>1558360</v>
      </c>
      <c r="H62" s="4">
        <f>H45+H61</f>
        <v>2014909.7999999998</v>
      </c>
      <c r="I62" s="4">
        <f>I45+I61</f>
        <v>2242822.69</v>
      </c>
    </row>
    <row r="63" spans="3:9" ht="12.75">
      <c r="C63" s="1" t="s">
        <v>155</v>
      </c>
      <c r="E63" s="5">
        <f>E38*(Total_Alloc_Exp+Rent1999)</f>
        <v>377864.51612903224</v>
      </c>
      <c r="F63" s="5">
        <f>F38*(Total_Alloc_Exp+Rent2000)</f>
        <v>713956.9230769231</v>
      </c>
      <c r="G63" s="5">
        <f>G38*(Total_Alloc_Exp+Rent2001)</f>
        <v>799846.9565217391</v>
      </c>
      <c r="H63" s="5">
        <f>H38*(Total_Alloc_Exp+Rent2002)</f>
        <v>1601361.3176470587</v>
      </c>
      <c r="I63" s="5">
        <f>I38*(Total_Alloc_Exp+Rent2003)</f>
        <v>1779701.76</v>
      </c>
    </row>
    <row r="64" spans="1:9" ht="12.75">
      <c r="A64" s="1" t="s">
        <v>165</v>
      </c>
      <c r="E64" s="4">
        <f>E62+E63</f>
        <v>855334.5161290322</v>
      </c>
      <c r="F64" s="4">
        <f>F62+F63</f>
        <v>1748518.923076923</v>
      </c>
      <c r="G64" s="4">
        <f>G62+G63</f>
        <v>2358206.9565217393</v>
      </c>
      <c r="H64" s="4">
        <f>H62+H63</f>
        <v>3616271.1176470583</v>
      </c>
      <c r="I64" s="4">
        <f>I62+I63</f>
        <v>4022524.45</v>
      </c>
    </row>
    <row r="65" spans="5:9" ht="12.75">
      <c r="E65" s="4"/>
      <c r="F65" s="4"/>
      <c r="G65" s="4"/>
      <c r="H65" s="4"/>
      <c r="I65" s="4"/>
    </row>
    <row r="66" spans="5:9" ht="12.75">
      <c r="E66" s="4"/>
      <c r="F66" s="4"/>
      <c r="G66" s="4"/>
      <c r="H66" s="4"/>
      <c r="I66" s="4"/>
    </row>
    <row r="67" spans="1:9" ht="15.75">
      <c r="A67" s="19" t="s">
        <v>28</v>
      </c>
      <c r="E67" s="4"/>
      <c r="F67" s="4"/>
      <c r="G67" s="4"/>
      <c r="H67" s="4"/>
      <c r="I67" s="4"/>
    </row>
    <row r="68" spans="2:9" ht="12.75">
      <c r="B68" s="1" t="s">
        <v>139</v>
      </c>
      <c r="E68" s="4">
        <f>Headcount!G144</f>
        <v>8</v>
      </c>
      <c r="F68" s="4">
        <f>Headcount!H144</f>
        <v>15</v>
      </c>
      <c r="G68" s="4">
        <f>Headcount!I144</f>
        <v>20</v>
      </c>
      <c r="H68" s="4">
        <f>Headcount!J144</f>
        <v>25</v>
      </c>
      <c r="I68" s="4">
        <f>Headcount!K144</f>
        <v>31</v>
      </c>
    </row>
    <row r="69" spans="2:9" ht="12.75">
      <c r="B69" s="1" t="s">
        <v>192</v>
      </c>
      <c r="E69" s="26">
        <f>E68/Bud_HC</f>
        <v>0.25806451612903225</v>
      </c>
      <c r="F69" s="26">
        <f>F68/Bud_HC</f>
        <v>0.28846153846153844</v>
      </c>
      <c r="G69" s="26">
        <f>G68/Bud_HC</f>
        <v>0.2898550724637681</v>
      </c>
      <c r="H69" s="26">
        <f>H68/Bud_HC</f>
        <v>0.29411764705882354</v>
      </c>
      <c r="I69" s="26">
        <f>I68/Bud_HC</f>
        <v>0.31</v>
      </c>
    </row>
    <row r="70" spans="5:9" ht="12.75">
      <c r="E70" s="4"/>
      <c r="F70" s="4"/>
      <c r="G70" s="4"/>
      <c r="H70" s="4"/>
      <c r="I70" s="4"/>
    </row>
    <row r="71" spans="1:9" ht="12.75">
      <c r="A71" s="2" t="s">
        <v>140</v>
      </c>
      <c r="E71" s="4"/>
      <c r="F71" s="4"/>
      <c r="G71" s="4"/>
      <c r="H71" s="4"/>
      <c r="I71" s="4"/>
    </row>
    <row r="72" ht="12.75">
      <c r="B72" s="1" t="s">
        <v>141</v>
      </c>
    </row>
    <row r="73" spans="3:9" ht="12.75">
      <c r="C73" s="1" t="s">
        <v>142</v>
      </c>
      <c r="E73" s="4">
        <f>Headcount!G133</f>
        <v>197800</v>
      </c>
      <c r="F73" s="4">
        <f>Headcount!H133</f>
        <v>925600</v>
      </c>
      <c r="G73" s="4">
        <f>Headcount!I133</f>
        <v>1202880</v>
      </c>
      <c r="H73" s="4">
        <f>Headcount!J133</f>
        <v>1663024</v>
      </c>
      <c r="I73" s="4">
        <f>Headcount!K133</f>
        <v>2129075.2</v>
      </c>
    </row>
    <row r="74" spans="3:9" ht="12.75">
      <c r="C74" s="1" t="s">
        <v>143</v>
      </c>
      <c r="D74" s="1">
        <v>0.08</v>
      </c>
      <c r="E74" s="4">
        <f>Bud_Unit_Cost*E73</f>
        <v>15824</v>
      </c>
      <c r="F74" s="4">
        <f>Bud_Unit_Cost*F73</f>
        <v>74048</v>
      </c>
      <c r="G74" s="4">
        <f>Bud_Unit_Cost*G73</f>
        <v>96230.40000000001</v>
      </c>
      <c r="H74" s="4">
        <f>Bud_Unit_Cost*H73</f>
        <v>133041.92</v>
      </c>
      <c r="I74" s="4">
        <f>Bud_Unit_Cost*I73</f>
        <v>170326.01600000003</v>
      </c>
    </row>
    <row r="75" spans="3:9" ht="12.75">
      <c r="C75" s="1" t="s">
        <v>144</v>
      </c>
      <c r="D75" s="1">
        <v>0.08</v>
      </c>
      <c r="E75" s="5">
        <f>Bud_Unit_Cost*E73</f>
        <v>15824</v>
      </c>
      <c r="F75" s="5">
        <f>Bud_Unit_Cost*F73</f>
        <v>74048</v>
      </c>
      <c r="G75" s="5">
        <f>Bud_Unit_Cost*G73</f>
        <v>96230.40000000001</v>
      </c>
      <c r="H75" s="5">
        <f>Bud_Unit_Cost*H73</f>
        <v>133041.92</v>
      </c>
      <c r="I75" s="5">
        <f>Bud_Unit_Cost*I73</f>
        <v>170326.01600000003</v>
      </c>
    </row>
    <row r="76" spans="2:9" ht="12.75">
      <c r="B76" s="1" t="s">
        <v>145</v>
      </c>
      <c r="E76" s="4">
        <f>SUM(E73:E75)</f>
        <v>229448</v>
      </c>
      <c r="F76" s="4">
        <f>SUM(F73:F75)</f>
        <v>1073696</v>
      </c>
      <c r="G76" s="4">
        <f>SUM(G73:G75)</f>
        <v>1395340.7999999998</v>
      </c>
      <c r="H76" s="4">
        <f>SUM(H73:H75)</f>
        <v>1929107.8399999999</v>
      </c>
      <c r="I76" s="4">
        <f>SUM(I73:I75)</f>
        <v>2469727.232</v>
      </c>
    </row>
    <row r="77" spans="2:9" ht="12.75">
      <c r="B77" s="1" t="s">
        <v>364</v>
      </c>
      <c r="E77" s="4"/>
      <c r="F77" s="4"/>
      <c r="G77" s="4"/>
      <c r="H77" s="4"/>
      <c r="I77" s="4"/>
    </row>
    <row r="78" spans="2:9" ht="12.75">
      <c r="B78" s="1" t="s">
        <v>146</v>
      </c>
      <c r="E78" s="4">
        <f>'Cap Exp'!E50</f>
        <v>41900</v>
      </c>
      <c r="F78" s="4">
        <f>'Cap Exp'!F50</f>
        <v>25850</v>
      </c>
      <c r="G78" s="4">
        <f>'Cap Exp'!G50</f>
        <v>30950</v>
      </c>
      <c r="H78" s="4">
        <f>'Cap Exp'!H50</f>
        <v>19550</v>
      </c>
      <c r="I78" s="4">
        <f>'Cap Exp'!I50</f>
        <v>21300</v>
      </c>
    </row>
    <row r="79" spans="2:9" ht="12.75">
      <c r="B79" s="1" t="s">
        <v>147</v>
      </c>
      <c r="D79" s="1">
        <v>3300</v>
      </c>
      <c r="E79" s="4">
        <f>Bud_Unit_Cost*Bud_SM_HC</f>
        <v>26400</v>
      </c>
      <c r="F79" s="4">
        <f>Bud_Unit_Cost*Bud_SM_HC</f>
        <v>49500</v>
      </c>
      <c r="G79" s="4">
        <f>Bud_Unit_Cost*Bud_SM_HC</f>
        <v>66000</v>
      </c>
      <c r="H79" s="4">
        <f>Bud_Unit_Cost*Bud_SM_HC</f>
        <v>82500</v>
      </c>
      <c r="I79" s="4">
        <f>Bud_Unit_Cost*Bud_SM_HC</f>
        <v>102300</v>
      </c>
    </row>
    <row r="80" spans="2:9" ht="12.75">
      <c r="B80" s="1" t="s">
        <v>262</v>
      </c>
      <c r="E80" s="4"/>
      <c r="F80" s="4"/>
      <c r="G80" s="4"/>
      <c r="H80" s="4"/>
      <c r="I80" s="4"/>
    </row>
    <row r="81" spans="2:9" ht="12.75">
      <c r="B81" s="1" t="s">
        <v>318</v>
      </c>
      <c r="E81" s="4"/>
      <c r="F81" s="4"/>
      <c r="G81" s="4"/>
      <c r="H81" s="4"/>
      <c r="I81" s="4"/>
    </row>
    <row r="82" spans="2:9" ht="12.75">
      <c r="B82" s="1" t="s">
        <v>19</v>
      </c>
      <c r="E82" s="4">
        <v>100000</v>
      </c>
      <c r="F82" s="4">
        <v>50000</v>
      </c>
      <c r="G82" s="4"/>
      <c r="H82" s="4"/>
      <c r="I82" s="4"/>
    </row>
    <row r="83" spans="2:9" ht="12.75">
      <c r="B83" s="1" t="s">
        <v>320</v>
      </c>
      <c r="E83" s="4">
        <v>600000</v>
      </c>
      <c r="F83" s="4">
        <v>1400000</v>
      </c>
      <c r="G83" s="4">
        <v>2200000</v>
      </c>
      <c r="H83" s="4">
        <v>3800000</v>
      </c>
      <c r="I83" s="4">
        <v>7500000</v>
      </c>
    </row>
    <row r="84" spans="2:9" ht="12.75">
      <c r="B84" s="1" t="s">
        <v>158</v>
      </c>
      <c r="E84" s="4"/>
      <c r="F84" s="4"/>
      <c r="G84" s="4"/>
      <c r="H84" s="4"/>
      <c r="I84" s="4"/>
    </row>
    <row r="85" spans="2:9" ht="12.75">
      <c r="B85" s="1" t="s">
        <v>159</v>
      </c>
      <c r="E85" s="4"/>
      <c r="F85" s="4"/>
      <c r="G85" s="4"/>
      <c r="H85" s="4"/>
      <c r="I85" s="4"/>
    </row>
    <row r="86" spans="2:9" ht="12.75">
      <c r="B86" s="1" t="s">
        <v>160</v>
      </c>
      <c r="E86" s="4"/>
      <c r="F86" s="4"/>
      <c r="G86" s="4"/>
      <c r="H86" s="4"/>
      <c r="I86" s="4"/>
    </row>
    <row r="87" spans="2:9" ht="12.75">
      <c r="B87" s="1" t="s">
        <v>161</v>
      </c>
      <c r="E87" s="4">
        <v>50000</v>
      </c>
      <c r="F87" s="4">
        <v>75000</v>
      </c>
      <c r="G87" s="4">
        <v>90000</v>
      </c>
      <c r="H87" s="4">
        <v>100000</v>
      </c>
      <c r="I87" s="4">
        <v>120000</v>
      </c>
    </row>
    <row r="88" spans="2:9" ht="12.75">
      <c r="B88" s="1" t="s">
        <v>162</v>
      </c>
      <c r="D88" s="4">
        <f>'Misc Exp'!D10</f>
        <v>1368</v>
      </c>
      <c r="E88" s="4">
        <f>Bud_Unit_Cost*Bud_SM_HC</f>
        <v>10944</v>
      </c>
      <c r="F88" s="4">
        <f>Bud_Unit_Cost*Bud_SM_HC</f>
        <v>20520</v>
      </c>
      <c r="G88" s="4">
        <f>Bud_Unit_Cost*Bud_SM_HC</f>
        <v>27360</v>
      </c>
      <c r="H88" s="4">
        <f>Bud_Unit_Cost*Bud_SM_HC</f>
        <v>34200</v>
      </c>
      <c r="I88" s="4">
        <f>Bud_Unit_Cost*Bud_SM_HC</f>
        <v>42408</v>
      </c>
    </row>
    <row r="89" spans="2:9" ht="12.75">
      <c r="B89" s="1" t="s">
        <v>150</v>
      </c>
      <c r="D89" s="4">
        <f>'Misc Exp'!D18</f>
        <v>876</v>
      </c>
      <c r="E89" s="4">
        <f aca="true" t="shared" si="3" ref="E89:I91">Bud_Unit_Cost*Bud_SM_HC</f>
        <v>7008</v>
      </c>
      <c r="F89" s="4">
        <f t="shared" si="3"/>
        <v>13140</v>
      </c>
      <c r="G89" s="4">
        <f t="shared" si="3"/>
        <v>17520</v>
      </c>
      <c r="H89" s="4">
        <f t="shared" si="3"/>
        <v>21900</v>
      </c>
      <c r="I89" s="4">
        <f t="shared" si="3"/>
        <v>27156</v>
      </c>
    </row>
    <row r="90" spans="2:9" ht="12.75">
      <c r="B90" s="1" t="s">
        <v>151</v>
      </c>
      <c r="D90" s="4">
        <f>'Misc Exp'!D23</f>
        <v>2808</v>
      </c>
      <c r="E90" s="4">
        <f t="shared" si="3"/>
        <v>22464</v>
      </c>
      <c r="F90" s="4">
        <f t="shared" si="3"/>
        <v>42120</v>
      </c>
      <c r="G90" s="4">
        <f t="shared" si="3"/>
        <v>56160</v>
      </c>
      <c r="H90" s="4">
        <f t="shared" si="3"/>
        <v>70200</v>
      </c>
      <c r="I90" s="4">
        <f t="shared" si="3"/>
        <v>87048</v>
      </c>
    </row>
    <row r="91" spans="2:9" ht="12.75">
      <c r="B91" s="1" t="s">
        <v>152</v>
      </c>
      <c r="D91" s="4">
        <f>'Misc Exp'!D27</f>
        <v>600</v>
      </c>
      <c r="E91" s="5">
        <f t="shared" si="3"/>
        <v>4800</v>
      </c>
      <c r="F91" s="5">
        <f t="shared" si="3"/>
        <v>9000</v>
      </c>
      <c r="G91" s="5">
        <f t="shared" si="3"/>
        <v>12000</v>
      </c>
      <c r="H91" s="5">
        <f t="shared" si="3"/>
        <v>15000</v>
      </c>
      <c r="I91" s="5">
        <f t="shared" si="3"/>
        <v>18600</v>
      </c>
    </row>
    <row r="92" spans="2:9" ht="12.75">
      <c r="B92" s="1" t="s">
        <v>166</v>
      </c>
      <c r="E92" s="8">
        <f>SUM(E78:E91)</f>
        <v>863516</v>
      </c>
      <c r="F92" s="8">
        <f>SUM(F78:F91)</f>
        <v>1685130</v>
      </c>
      <c r="G92" s="8">
        <f>SUM(G78:G91)</f>
        <v>2499990</v>
      </c>
      <c r="H92" s="8">
        <f>SUM(H78:H91)</f>
        <v>4143350</v>
      </c>
      <c r="I92" s="8">
        <f>SUM(I78:I91)</f>
        <v>7918812</v>
      </c>
    </row>
    <row r="93" spans="2:9" ht="12.75">
      <c r="B93" s="1" t="s">
        <v>167</v>
      </c>
      <c r="E93" s="4">
        <f>E76+E92</f>
        <v>1092964</v>
      </c>
      <c r="F93" s="4">
        <f>F76+F92</f>
        <v>2758826</v>
      </c>
      <c r="G93" s="4">
        <f>G76+G92</f>
        <v>3895330.8</v>
      </c>
      <c r="H93" s="4">
        <f>H76+H92</f>
        <v>6072457.84</v>
      </c>
      <c r="I93" s="4">
        <f>I76+I92</f>
        <v>10388539.232</v>
      </c>
    </row>
    <row r="94" spans="3:9" ht="12.75">
      <c r="C94" s="1" t="s">
        <v>155</v>
      </c>
      <c r="E94" s="5">
        <f>E69*(Total_Alloc_Exp+Rent1999)</f>
        <v>604583.2258064516</v>
      </c>
      <c r="F94" s="5">
        <f>F69*(Total_Alloc_Exp+Rent2000)</f>
        <v>1338669.2307692308</v>
      </c>
      <c r="G94" s="5">
        <f>G69*(Total_Alloc_Exp+Rent2001)</f>
        <v>1333078.2608695652</v>
      </c>
      <c r="H94" s="5">
        <f>H69*(Total_Alloc_Exp+Rent2002)</f>
        <v>2502127.0588235296</v>
      </c>
      <c r="I94" s="5">
        <f>I69*(Total_Alloc_Exp+Rent2003)</f>
        <v>3065041.92</v>
      </c>
    </row>
    <row r="95" spans="1:9" ht="12.75">
      <c r="A95" s="1" t="s">
        <v>168</v>
      </c>
      <c r="E95" s="4">
        <f>E93+E94</f>
        <v>1697547.2258064516</v>
      </c>
      <c r="F95" s="4">
        <f>F93+F94</f>
        <v>4097495.230769231</v>
      </c>
      <c r="G95" s="4">
        <f>G93+G94</f>
        <v>5228409.060869565</v>
      </c>
      <c r="H95" s="4">
        <f>H93+H94</f>
        <v>8574584.89882353</v>
      </c>
      <c r="I95" s="4">
        <f>I93+I94</f>
        <v>13453581.152</v>
      </c>
    </row>
    <row r="96" spans="5:9" ht="12.75">
      <c r="E96" s="4"/>
      <c r="F96" s="4"/>
      <c r="G96" s="4"/>
      <c r="H96" s="4"/>
      <c r="I96" s="4"/>
    </row>
    <row r="97" spans="5:9" ht="12.75">
      <c r="E97" s="4"/>
      <c r="F97" s="4"/>
      <c r="G97" s="4"/>
      <c r="H97" s="4"/>
      <c r="I97" s="4"/>
    </row>
    <row r="98" spans="1:9" ht="15.75">
      <c r="A98" s="19" t="s">
        <v>355</v>
      </c>
      <c r="E98" s="4"/>
      <c r="F98" s="4"/>
      <c r="G98" s="4"/>
      <c r="H98" s="4"/>
      <c r="I98" s="4"/>
    </row>
    <row r="99" spans="2:9" ht="12.75">
      <c r="B99" s="1" t="s">
        <v>139</v>
      </c>
      <c r="E99" s="4">
        <f>Headcount!G145</f>
        <v>7</v>
      </c>
      <c r="F99" s="4">
        <f>Headcount!H145</f>
        <v>10</v>
      </c>
      <c r="G99" s="4">
        <f>Headcount!I145</f>
        <v>14</v>
      </c>
      <c r="H99" s="4">
        <f>Headcount!J145</f>
        <v>18</v>
      </c>
      <c r="I99" s="4">
        <f>Headcount!K145</f>
        <v>24</v>
      </c>
    </row>
    <row r="100" spans="2:9" ht="12.75">
      <c r="B100" s="1" t="s">
        <v>192</v>
      </c>
      <c r="E100" s="26">
        <f>E99/Bud_HC</f>
        <v>0.22580645161290322</v>
      </c>
      <c r="F100" s="26">
        <f>F99/Bud_HC</f>
        <v>0.19230769230769232</v>
      </c>
      <c r="G100" s="26">
        <f>G99/Bud_HC</f>
        <v>0.2028985507246377</v>
      </c>
      <c r="H100" s="26">
        <f>H99/Bud_HC</f>
        <v>0.21176470588235294</v>
      </c>
      <c r="I100" s="26">
        <f>I99/Bud_HC</f>
        <v>0.24</v>
      </c>
    </row>
    <row r="101" spans="5:9" ht="12.75">
      <c r="E101" s="4"/>
      <c r="F101" s="4"/>
      <c r="G101" s="4"/>
      <c r="H101" s="4"/>
      <c r="I101" s="4"/>
    </row>
    <row r="102" spans="1:9" ht="12.75">
      <c r="A102" s="2" t="s">
        <v>140</v>
      </c>
      <c r="E102" s="4"/>
      <c r="F102" s="4"/>
      <c r="G102" s="4"/>
      <c r="H102" s="4"/>
      <c r="I102" s="4"/>
    </row>
    <row r="103" ht="12.75">
      <c r="B103" s="1" t="s">
        <v>141</v>
      </c>
    </row>
    <row r="104" spans="3:9" ht="12.75">
      <c r="C104" s="1" t="s">
        <v>142</v>
      </c>
      <c r="E104" s="4">
        <f>Headcount!G134</f>
        <v>150416.66666666666</v>
      </c>
      <c r="F104" s="4">
        <f>Headcount!H134</f>
        <v>803000</v>
      </c>
      <c r="G104" s="4">
        <f>Headcount!I134</f>
        <v>1254450</v>
      </c>
      <c r="H104" s="4">
        <f>Headcount!J134</f>
        <v>1640795</v>
      </c>
      <c r="I104" s="4">
        <f>Headcount!K134</f>
        <v>2194122.25</v>
      </c>
    </row>
    <row r="105" spans="3:9" ht="12.75">
      <c r="C105" s="1" t="s">
        <v>143</v>
      </c>
      <c r="D105" s="1">
        <v>0.08</v>
      </c>
      <c r="E105" s="4">
        <f>Bud_Unit_Cost*E104</f>
        <v>12033.333333333332</v>
      </c>
      <c r="F105" s="4">
        <f>Bud_Unit_Cost*F104</f>
        <v>64240</v>
      </c>
      <c r="G105" s="4">
        <f>Bud_Unit_Cost*G104</f>
        <v>100356</v>
      </c>
      <c r="H105" s="4">
        <f>Bud_Unit_Cost*H104</f>
        <v>131263.6</v>
      </c>
      <c r="I105" s="4">
        <f>Bud_Unit_Cost*I104</f>
        <v>175529.78</v>
      </c>
    </row>
    <row r="106" spans="3:9" ht="12.75">
      <c r="C106" s="1" t="s">
        <v>144</v>
      </c>
      <c r="D106" s="1">
        <v>0.08</v>
      </c>
      <c r="E106" s="5">
        <f>Bud_Unit_Cost*E104</f>
        <v>12033.333333333332</v>
      </c>
      <c r="F106" s="5">
        <f>Bud_Unit_Cost*F104</f>
        <v>64240</v>
      </c>
      <c r="G106" s="5">
        <f>Bud_Unit_Cost*G104</f>
        <v>100356</v>
      </c>
      <c r="H106" s="5">
        <f>Bud_Unit_Cost*H104</f>
        <v>131263.6</v>
      </c>
      <c r="I106" s="5">
        <f>Bud_Unit_Cost*I104</f>
        <v>175529.78</v>
      </c>
    </row>
    <row r="107" spans="2:9" ht="12.75">
      <c r="B107" s="1" t="s">
        <v>145</v>
      </c>
      <c r="E107" s="4">
        <f>SUM(E104:E106)</f>
        <v>174483.33333333334</v>
      </c>
      <c r="F107" s="4">
        <f>SUM(F104:F106)</f>
        <v>931480</v>
      </c>
      <c r="G107" s="4">
        <f>SUM(G104:G106)</f>
        <v>1455162</v>
      </c>
      <c r="H107" s="4">
        <f>SUM(H104:H106)</f>
        <v>1903322.2000000002</v>
      </c>
      <c r="I107" s="4">
        <f>SUM(I104:I106)</f>
        <v>2545181.8099999996</v>
      </c>
    </row>
    <row r="108" spans="5:9" ht="12.75">
      <c r="E108" s="4"/>
      <c r="F108" s="4"/>
      <c r="G108" s="4"/>
      <c r="H108" s="4"/>
      <c r="I108" s="4"/>
    </row>
    <row r="109" spans="2:9" ht="12.75">
      <c r="B109" s="1" t="s">
        <v>146</v>
      </c>
      <c r="E109" s="4">
        <f>'Cap Exp'!E86</f>
        <v>26450</v>
      </c>
      <c r="F109" s="4">
        <f>'Cap Exp'!F86</f>
        <v>12050</v>
      </c>
      <c r="G109" s="4">
        <f>'Cap Exp'!G86</f>
        <v>22100</v>
      </c>
      <c r="H109" s="4">
        <f>'Cap Exp'!H86</f>
        <v>17300</v>
      </c>
      <c r="I109" s="4">
        <f>'Cap Exp'!I86</f>
        <v>22400</v>
      </c>
    </row>
    <row r="110" spans="2:9" ht="12.75">
      <c r="B110" s="1" t="s">
        <v>147</v>
      </c>
      <c r="D110" s="1">
        <v>2200</v>
      </c>
      <c r="E110" s="4">
        <f>Bud_Unit_Cost*Bud_KI_HC</f>
        <v>15400</v>
      </c>
      <c r="F110" s="4">
        <f>Bud_Unit_Cost*Bud_KI_HC</f>
        <v>22000</v>
      </c>
      <c r="G110" s="4">
        <f>Bud_Unit_Cost*Bud_KI_HC</f>
        <v>30800</v>
      </c>
      <c r="H110" s="4">
        <f>Bud_Unit_Cost*Bud_KI_HC</f>
        <v>39600</v>
      </c>
      <c r="I110" s="4">
        <f>Bud_Unit_Cost*Bud_KI_HC</f>
        <v>52800</v>
      </c>
    </row>
    <row r="111" spans="2:9" ht="12.75">
      <c r="B111" s="1" t="s">
        <v>262</v>
      </c>
      <c r="E111" s="4"/>
      <c r="F111" s="4"/>
      <c r="G111" s="4"/>
      <c r="H111" s="4"/>
      <c r="I111" s="4"/>
    </row>
    <row r="112" spans="2:9" ht="12.75">
      <c r="B112" s="1" t="s">
        <v>318</v>
      </c>
      <c r="E112" s="4"/>
      <c r="F112" s="4"/>
      <c r="G112" s="4"/>
      <c r="H112" s="4"/>
      <c r="I112" s="4"/>
    </row>
    <row r="113" spans="2:9" ht="12.75">
      <c r="B113" s="1" t="s">
        <v>19</v>
      </c>
      <c r="E113" s="4"/>
      <c r="F113" s="4"/>
      <c r="G113" s="4"/>
      <c r="H113" s="4"/>
      <c r="I113" s="4"/>
    </row>
    <row r="114" spans="2:9" ht="12.75">
      <c r="B114" s="1" t="s">
        <v>320</v>
      </c>
      <c r="E114" s="4"/>
      <c r="F114" s="4"/>
      <c r="G114" s="4"/>
      <c r="H114" s="4"/>
      <c r="I114" s="4"/>
    </row>
    <row r="115" spans="2:9" ht="12.75">
      <c r="B115" s="1" t="s">
        <v>158</v>
      </c>
      <c r="E115" s="4"/>
      <c r="F115" s="4"/>
      <c r="G115" s="4"/>
      <c r="H115" s="4"/>
      <c r="I115" s="4"/>
    </row>
    <row r="116" spans="2:9" ht="12.75">
      <c r="B116" s="1" t="s">
        <v>159</v>
      </c>
      <c r="E116" s="4"/>
      <c r="F116" s="4"/>
      <c r="G116" s="4"/>
      <c r="H116" s="4"/>
      <c r="I116" s="4"/>
    </row>
    <row r="117" spans="2:9" ht="12.75">
      <c r="B117" s="1" t="s">
        <v>160</v>
      </c>
      <c r="E117" s="4"/>
      <c r="F117" s="4"/>
      <c r="G117" s="4"/>
      <c r="H117" s="4"/>
      <c r="I117" s="4"/>
    </row>
    <row r="118" spans="2:9" ht="12.75">
      <c r="B118" s="1" t="s">
        <v>161</v>
      </c>
      <c r="E118" s="4">
        <v>50000</v>
      </c>
      <c r="F118" s="4">
        <v>75000</v>
      </c>
      <c r="G118" s="4">
        <v>90000</v>
      </c>
      <c r="H118" s="4">
        <v>100000</v>
      </c>
      <c r="I118" s="4">
        <v>120000</v>
      </c>
    </row>
    <row r="119" spans="2:9" ht="12.75">
      <c r="B119" s="1" t="s">
        <v>162</v>
      </c>
      <c r="D119" s="4">
        <f>'Misc Exp'!D40</f>
        <v>0</v>
      </c>
      <c r="E119" s="4">
        <f>Bud_Unit_Cost*Bud_SM_HC</f>
        <v>0</v>
      </c>
      <c r="F119" s="4">
        <f>Bud_Unit_Cost*Bud_SM_HC</f>
        <v>0</v>
      </c>
      <c r="G119" s="4">
        <f>Bud_Unit_Cost*Bud_SM_HC</f>
        <v>0</v>
      </c>
      <c r="H119" s="4">
        <f>Bud_Unit_Cost*Bud_SM_HC</f>
        <v>0</v>
      </c>
      <c r="I119" s="4">
        <f>Bud_Unit_Cost*Bud_SM_HC</f>
        <v>0</v>
      </c>
    </row>
    <row r="120" spans="2:9" ht="12.75">
      <c r="B120" s="1" t="s">
        <v>150</v>
      </c>
      <c r="D120" s="4">
        <f>'Misc Exp'!D48</f>
        <v>0</v>
      </c>
      <c r="E120" s="4">
        <f aca="true" t="shared" si="4" ref="E120:I122">Bud_Unit_Cost*Bud_SM_HC</f>
        <v>0</v>
      </c>
      <c r="F120" s="4">
        <f t="shared" si="4"/>
        <v>0</v>
      </c>
      <c r="G120" s="4">
        <f t="shared" si="4"/>
        <v>0</v>
      </c>
      <c r="H120" s="4">
        <f t="shared" si="4"/>
        <v>0</v>
      </c>
      <c r="I120" s="4">
        <f t="shared" si="4"/>
        <v>0</v>
      </c>
    </row>
    <row r="121" spans="2:9" ht="12.75">
      <c r="B121" s="1" t="s">
        <v>151</v>
      </c>
      <c r="D121" s="4">
        <f>'Misc Exp'!D53</f>
        <v>0</v>
      </c>
      <c r="E121" s="4">
        <f t="shared" si="4"/>
        <v>0</v>
      </c>
      <c r="F121" s="4">
        <f t="shared" si="4"/>
        <v>0</v>
      </c>
      <c r="G121" s="4">
        <f t="shared" si="4"/>
        <v>0</v>
      </c>
      <c r="H121" s="4">
        <f t="shared" si="4"/>
        <v>0</v>
      </c>
      <c r="I121" s="4">
        <f t="shared" si="4"/>
        <v>0</v>
      </c>
    </row>
    <row r="122" spans="2:9" ht="12.75">
      <c r="B122" s="1" t="s">
        <v>152</v>
      </c>
      <c r="D122" s="4">
        <f>'Misc Exp'!D57</f>
        <v>0</v>
      </c>
      <c r="E122" s="5">
        <f t="shared" si="4"/>
        <v>0</v>
      </c>
      <c r="F122" s="5">
        <f t="shared" si="4"/>
        <v>0</v>
      </c>
      <c r="G122" s="5">
        <f t="shared" si="4"/>
        <v>0</v>
      </c>
      <c r="H122" s="5">
        <f t="shared" si="4"/>
        <v>0</v>
      </c>
      <c r="I122" s="5">
        <f t="shared" si="4"/>
        <v>0</v>
      </c>
    </row>
    <row r="123" spans="2:9" ht="12.75">
      <c r="B123" s="1" t="s">
        <v>361</v>
      </c>
      <c r="E123" s="8">
        <f>SUM(E109:E122)</f>
        <v>91850</v>
      </c>
      <c r="F123" s="8">
        <f>SUM(F109:F122)</f>
        <v>109050</v>
      </c>
      <c r="G123" s="8">
        <f>SUM(G109:G122)</f>
        <v>142900</v>
      </c>
      <c r="H123" s="8">
        <f>SUM(H109:H122)</f>
        <v>156900</v>
      </c>
      <c r="I123" s="8">
        <f>SUM(I109:I122)</f>
        <v>195200</v>
      </c>
    </row>
    <row r="124" spans="2:9" ht="12.75">
      <c r="B124" s="1" t="s">
        <v>360</v>
      </c>
      <c r="E124" s="4">
        <f>E107+E123</f>
        <v>266333.3333333334</v>
      </c>
      <c r="F124" s="4">
        <f>F107+F123</f>
        <v>1040530</v>
      </c>
      <c r="G124" s="4">
        <f>G107+G123</f>
        <v>1598062</v>
      </c>
      <c r="H124" s="4">
        <f>H107+H123</f>
        <v>2060222.2000000002</v>
      </c>
      <c r="I124" s="4">
        <f>I107+I123</f>
        <v>2740381.8099999996</v>
      </c>
    </row>
    <row r="125" spans="3:9" ht="12.75">
      <c r="C125" s="1" t="s">
        <v>155</v>
      </c>
      <c r="E125" s="5">
        <f>E100*(Total_Alloc_Exp+Rent1999)</f>
        <v>529010.3225806451</v>
      </c>
      <c r="F125" s="5">
        <f>F100*(Total_Alloc_Exp+Rent2000)</f>
        <v>892446.1538461539</v>
      </c>
      <c r="G125" s="5">
        <f>G100*(Total_Alloc_Exp+Rent2001)</f>
        <v>933154.7826086957</v>
      </c>
      <c r="H125" s="5">
        <f>H100*(Total_Alloc_Exp+Rent2002)</f>
        <v>1801531.482352941</v>
      </c>
      <c r="I125" s="5">
        <f>I100*(Total_Alloc_Exp+Rent2003)</f>
        <v>2372935.6799999997</v>
      </c>
    </row>
    <row r="126" spans="1:9" ht="12.75">
      <c r="A126" s="1" t="s">
        <v>358</v>
      </c>
      <c r="E126" s="4">
        <f>E124+E125</f>
        <v>795343.6559139785</v>
      </c>
      <c r="F126" s="4">
        <f>F124+F125</f>
        <v>1932976.153846154</v>
      </c>
      <c r="G126" s="4">
        <f>G124+G125</f>
        <v>2531216.782608696</v>
      </c>
      <c r="H126" s="4">
        <f>H124+H125</f>
        <v>3861753.6823529415</v>
      </c>
      <c r="I126" s="4">
        <f>I124+I125</f>
        <v>5113317.489999999</v>
      </c>
    </row>
    <row r="127" spans="5:9" ht="12.75">
      <c r="E127" s="4"/>
      <c r="F127" s="4"/>
      <c r="G127" s="4"/>
      <c r="H127" s="4"/>
      <c r="I127" s="4"/>
    </row>
    <row r="128" spans="5:9" ht="12.75">
      <c r="E128" s="4"/>
      <c r="F128" s="4"/>
      <c r="G128" s="4"/>
      <c r="H128" s="4"/>
      <c r="I128" s="4"/>
    </row>
    <row r="129" spans="1:9" ht="15.75">
      <c r="A129" s="48" t="s">
        <v>374</v>
      </c>
      <c r="B129" s="49"/>
      <c r="C129" s="49"/>
      <c r="D129" s="49"/>
      <c r="E129" s="50"/>
      <c r="F129" s="50"/>
      <c r="G129" s="50"/>
      <c r="H129" s="50"/>
      <c r="I129" s="50"/>
    </row>
    <row r="130" spans="1:9" ht="12.75">
      <c r="A130" s="49"/>
      <c r="B130" s="49" t="s">
        <v>139</v>
      </c>
      <c r="C130" s="49"/>
      <c r="D130" s="49"/>
      <c r="E130" s="50">
        <f>E6+E37+E68</f>
        <v>24</v>
      </c>
      <c r="F130" s="50">
        <f>F6+F37+F68</f>
        <v>42</v>
      </c>
      <c r="G130" s="50">
        <f>G6+G37+G68</f>
        <v>55</v>
      </c>
      <c r="H130" s="50">
        <f>H6+H37+H68</f>
        <v>67</v>
      </c>
      <c r="I130" s="50">
        <f>I6+I37+I68</f>
        <v>76</v>
      </c>
    </row>
    <row r="131" spans="1:9" ht="12.75">
      <c r="A131" s="49"/>
      <c r="B131" s="49" t="s">
        <v>192</v>
      </c>
      <c r="C131" s="49"/>
      <c r="D131" s="49"/>
      <c r="E131" s="50"/>
      <c r="F131" s="50"/>
      <c r="G131" s="50"/>
      <c r="H131" s="50"/>
      <c r="I131" s="50"/>
    </row>
    <row r="132" spans="1:9" ht="12.75">
      <c r="A132" s="49"/>
      <c r="B132" s="49"/>
      <c r="C132" s="49"/>
      <c r="D132" s="49"/>
      <c r="E132" s="50"/>
      <c r="F132" s="50"/>
      <c r="G132" s="50"/>
      <c r="H132" s="50"/>
      <c r="I132" s="50"/>
    </row>
    <row r="133" spans="1:9" ht="12.75">
      <c r="A133" s="51" t="s">
        <v>140</v>
      </c>
      <c r="B133" s="49"/>
      <c r="C133" s="49"/>
      <c r="D133" s="49"/>
      <c r="E133" s="50"/>
      <c r="F133" s="50"/>
      <c r="G133" s="50"/>
      <c r="H133" s="50"/>
      <c r="I133" s="50"/>
    </row>
    <row r="134" spans="1:9" ht="12.75">
      <c r="A134" s="49"/>
      <c r="B134" s="49" t="s">
        <v>141</v>
      </c>
      <c r="C134" s="49"/>
      <c r="D134" s="49"/>
      <c r="E134" s="50"/>
      <c r="F134" s="50"/>
      <c r="G134" s="50"/>
      <c r="H134" s="50"/>
      <c r="I134" s="50"/>
    </row>
    <row r="135" spans="1:9" ht="12.75">
      <c r="A135" s="49"/>
      <c r="B135" s="49"/>
      <c r="C135" s="49" t="s">
        <v>142</v>
      </c>
      <c r="D135" s="49"/>
      <c r="E135" s="50">
        <f aca="true" t="shared" si="5" ref="E135:I137">E11+E42+E73+E104</f>
        <v>870466.6666666666</v>
      </c>
      <c r="F135" s="50">
        <f t="shared" si="5"/>
        <v>3691491.666666667</v>
      </c>
      <c r="G135" s="50">
        <f t="shared" si="5"/>
        <v>5412011.25</v>
      </c>
      <c r="H135" s="50">
        <f t="shared" si="5"/>
        <v>6934055.8125</v>
      </c>
      <c r="I135" s="50">
        <f t="shared" si="5"/>
        <v>8329446.103125</v>
      </c>
    </row>
    <row r="136" spans="1:9" ht="12.75">
      <c r="A136" s="49"/>
      <c r="B136" s="49"/>
      <c r="C136" s="49" t="s">
        <v>143</v>
      </c>
      <c r="D136" s="49"/>
      <c r="E136" s="50">
        <f t="shared" si="5"/>
        <v>69637.33333333333</v>
      </c>
      <c r="F136" s="50">
        <f t="shared" si="5"/>
        <v>295319.3333333334</v>
      </c>
      <c r="G136" s="50">
        <f t="shared" si="5"/>
        <v>432960.9</v>
      </c>
      <c r="H136" s="50">
        <f t="shared" si="5"/>
        <v>554724.465</v>
      </c>
      <c r="I136" s="50">
        <f t="shared" si="5"/>
        <v>666355.6882500001</v>
      </c>
    </row>
    <row r="137" spans="1:9" ht="12.75">
      <c r="A137" s="49"/>
      <c r="B137" s="49"/>
      <c r="C137" s="49" t="s">
        <v>144</v>
      </c>
      <c r="D137" s="49"/>
      <c r="E137" s="52">
        <f t="shared" si="5"/>
        <v>69637.33333333333</v>
      </c>
      <c r="F137" s="52">
        <f t="shared" si="5"/>
        <v>295319.3333333334</v>
      </c>
      <c r="G137" s="52">
        <f t="shared" si="5"/>
        <v>432960.9</v>
      </c>
      <c r="H137" s="52">
        <f t="shared" si="5"/>
        <v>554724.465</v>
      </c>
      <c r="I137" s="52">
        <f t="shared" si="5"/>
        <v>666355.6882500001</v>
      </c>
    </row>
    <row r="138" spans="1:9" ht="12.75">
      <c r="A138" s="49"/>
      <c r="B138" s="49" t="s">
        <v>145</v>
      </c>
      <c r="C138" s="49"/>
      <c r="D138" s="49"/>
      <c r="E138" s="50">
        <f>SUM(E135:E137)</f>
        <v>1009741.3333333334</v>
      </c>
      <c r="F138" s="50">
        <f>SUM(F135:F137)</f>
        <v>4282130.333333334</v>
      </c>
      <c r="G138" s="50">
        <f>SUM(G135:G137)</f>
        <v>6277933.050000001</v>
      </c>
      <c r="H138" s="50">
        <f>SUM(H135:H137)</f>
        <v>8043504.7425</v>
      </c>
      <c r="I138" s="50">
        <f>SUM(I135:I137)</f>
        <v>9662157.479625</v>
      </c>
    </row>
    <row r="139" spans="1:9" ht="12.75">
      <c r="A139" s="49"/>
      <c r="B139" s="49"/>
      <c r="C139" s="49"/>
      <c r="D139" s="49"/>
      <c r="E139" s="50"/>
      <c r="F139" s="50"/>
      <c r="G139" s="50"/>
      <c r="H139" s="50"/>
      <c r="I139" s="50"/>
    </row>
    <row r="140" spans="1:9" ht="12.75">
      <c r="A140" s="49"/>
      <c r="B140" s="49" t="s">
        <v>146</v>
      </c>
      <c r="C140" s="49"/>
      <c r="D140" s="49"/>
      <c r="E140" s="50">
        <f aca="true" t="shared" si="6" ref="E140:I153">E16+E47+E78+E109</f>
        <v>177050</v>
      </c>
      <c r="F140" s="50">
        <f t="shared" si="6"/>
        <v>176950</v>
      </c>
      <c r="G140" s="50">
        <f t="shared" si="6"/>
        <v>167150</v>
      </c>
      <c r="H140" s="50">
        <f t="shared" si="6"/>
        <v>68100</v>
      </c>
      <c r="I140" s="50">
        <f t="shared" si="6"/>
        <v>55850</v>
      </c>
    </row>
    <row r="141" spans="1:9" ht="12.75">
      <c r="A141" s="49"/>
      <c r="B141" s="49" t="s">
        <v>147</v>
      </c>
      <c r="C141" s="49"/>
      <c r="D141" s="49"/>
      <c r="E141" s="50">
        <f t="shared" si="6"/>
        <v>56300</v>
      </c>
      <c r="F141" s="50">
        <f t="shared" si="6"/>
        <v>96100</v>
      </c>
      <c r="G141" s="50">
        <f t="shared" si="6"/>
        <v>128450</v>
      </c>
      <c r="H141" s="50">
        <f t="shared" si="6"/>
        <v>160800</v>
      </c>
      <c r="I141" s="50">
        <f t="shared" si="6"/>
        <v>196950</v>
      </c>
    </row>
    <row r="142" spans="1:9" ht="12.75">
      <c r="A142" s="49"/>
      <c r="B142" s="49" t="s">
        <v>148</v>
      </c>
      <c r="C142" s="49"/>
      <c r="D142" s="49"/>
      <c r="E142" s="50">
        <f t="shared" si="6"/>
        <v>13200</v>
      </c>
      <c r="F142" s="50">
        <f t="shared" si="6"/>
        <v>22800</v>
      </c>
      <c r="G142" s="50">
        <f t="shared" si="6"/>
        <v>27600</v>
      </c>
      <c r="H142" s="50">
        <f t="shared" si="6"/>
        <v>31200</v>
      </c>
      <c r="I142" s="50">
        <f t="shared" si="6"/>
        <v>32400</v>
      </c>
    </row>
    <row r="143" spans="1:9" ht="12.75">
      <c r="A143" s="49"/>
      <c r="B143" s="49" t="s">
        <v>318</v>
      </c>
      <c r="C143" s="49"/>
      <c r="D143" s="49"/>
      <c r="E143" s="50">
        <f t="shared" si="6"/>
        <v>25000</v>
      </c>
      <c r="F143" s="50">
        <f t="shared" si="6"/>
        <v>25000</v>
      </c>
      <c r="G143" s="50">
        <f t="shared" si="6"/>
        <v>45000</v>
      </c>
      <c r="H143" s="50">
        <f t="shared" si="6"/>
        <v>65000</v>
      </c>
      <c r="I143" s="50">
        <f t="shared" si="6"/>
        <v>85000</v>
      </c>
    </row>
    <row r="144" spans="1:9" ht="12.75">
      <c r="A144" s="49"/>
      <c r="B144" s="49" t="s">
        <v>19</v>
      </c>
      <c r="C144" s="49"/>
      <c r="D144" s="49"/>
      <c r="E144" s="50">
        <f t="shared" si="6"/>
        <v>300000</v>
      </c>
      <c r="F144" s="50">
        <f t="shared" si="6"/>
        <v>250000</v>
      </c>
      <c r="G144" s="50">
        <f t="shared" si="6"/>
        <v>100000</v>
      </c>
      <c r="H144" s="50">
        <f t="shared" si="6"/>
        <v>100000</v>
      </c>
      <c r="I144" s="50">
        <f t="shared" si="6"/>
        <v>100000</v>
      </c>
    </row>
    <row r="145" spans="1:9" ht="12.75">
      <c r="A145" s="49"/>
      <c r="B145" s="49" t="s">
        <v>59</v>
      </c>
      <c r="C145" s="49"/>
      <c r="D145" s="49"/>
      <c r="E145" s="50">
        <f t="shared" si="6"/>
        <v>600000</v>
      </c>
      <c r="F145" s="50">
        <f t="shared" si="6"/>
        <v>1400000</v>
      </c>
      <c r="G145" s="50">
        <f t="shared" si="6"/>
        <v>2200000</v>
      </c>
      <c r="H145" s="50">
        <f t="shared" si="6"/>
        <v>3800000</v>
      </c>
      <c r="I145" s="50">
        <f t="shared" si="6"/>
        <v>7500000</v>
      </c>
    </row>
    <row r="146" spans="1:9" ht="12.75">
      <c r="A146" s="49"/>
      <c r="B146" s="49" t="s">
        <v>261</v>
      </c>
      <c r="C146" s="49"/>
      <c r="D146" s="49"/>
      <c r="E146" s="50">
        <f t="shared" si="6"/>
        <v>65000</v>
      </c>
      <c r="F146" s="50">
        <f t="shared" si="6"/>
        <v>85000</v>
      </c>
      <c r="G146" s="50">
        <f t="shared" si="6"/>
        <v>100000</v>
      </c>
      <c r="H146" s="50">
        <f t="shared" si="6"/>
        <v>120000</v>
      </c>
      <c r="I146" s="50">
        <f t="shared" si="6"/>
        <v>120000</v>
      </c>
    </row>
    <row r="147" spans="1:9" ht="12.75">
      <c r="A147" s="49"/>
      <c r="B147" s="49" t="s">
        <v>159</v>
      </c>
      <c r="C147" s="49"/>
      <c r="D147" s="49"/>
      <c r="E147" s="50">
        <f t="shared" si="6"/>
        <v>30000</v>
      </c>
      <c r="F147" s="50">
        <f t="shared" si="6"/>
        <v>50000</v>
      </c>
      <c r="G147" s="50">
        <f t="shared" si="6"/>
        <v>70000</v>
      </c>
      <c r="H147" s="50">
        <f t="shared" si="6"/>
        <v>80000</v>
      </c>
      <c r="I147" s="50">
        <f t="shared" si="6"/>
        <v>100000</v>
      </c>
    </row>
    <row r="148" spans="1:9" ht="12.75">
      <c r="A148" s="49"/>
      <c r="B148" s="49" t="s">
        <v>160</v>
      </c>
      <c r="C148" s="49"/>
      <c r="D148" s="49"/>
      <c r="E148" s="50">
        <f t="shared" si="6"/>
        <v>10000</v>
      </c>
      <c r="F148" s="50">
        <f t="shared" si="6"/>
        <v>0</v>
      </c>
      <c r="G148" s="50">
        <f t="shared" si="6"/>
        <v>0</v>
      </c>
      <c r="H148" s="50">
        <f t="shared" si="6"/>
        <v>0</v>
      </c>
      <c r="I148" s="50">
        <f t="shared" si="6"/>
        <v>0</v>
      </c>
    </row>
    <row r="149" spans="1:9" ht="12.75">
      <c r="A149" s="49"/>
      <c r="B149" s="49" t="s">
        <v>206</v>
      </c>
      <c r="C149" s="49"/>
      <c r="D149" s="49"/>
      <c r="E149" s="50">
        <f t="shared" si="6"/>
        <v>200000</v>
      </c>
      <c r="F149" s="50">
        <f t="shared" si="6"/>
        <v>300000</v>
      </c>
      <c r="G149" s="50">
        <f t="shared" si="6"/>
        <v>405000</v>
      </c>
      <c r="H149" s="50">
        <f t="shared" si="6"/>
        <v>500000</v>
      </c>
      <c r="I149" s="50">
        <f t="shared" si="6"/>
        <v>690000</v>
      </c>
    </row>
    <row r="150" spans="1:9" ht="12.75">
      <c r="A150" s="49"/>
      <c r="B150" s="49" t="s">
        <v>149</v>
      </c>
      <c r="C150" s="49"/>
      <c r="D150" s="49"/>
      <c r="E150" s="50">
        <f t="shared" si="6"/>
        <v>32832</v>
      </c>
      <c r="F150" s="50">
        <f t="shared" si="6"/>
        <v>57456</v>
      </c>
      <c r="G150" s="50">
        <f t="shared" si="6"/>
        <v>75240</v>
      </c>
      <c r="H150" s="50">
        <f t="shared" si="6"/>
        <v>91656</v>
      </c>
      <c r="I150" s="50">
        <f t="shared" si="6"/>
        <v>103968</v>
      </c>
    </row>
    <row r="151" spans="1:9" ht="12.75">
      <c r="A151" s="49"/>
      <c r="B151" s="49" t="s">
        <v>150</v>
      </c>
      <c r="C151" s="49"/>
      <c r="D151" s="49"/>
      <c r="E151" s="50">
        <f t="shared" si="6"/>
        <v>21024</v>
      </c>
      <c r="F151" s="50">
        <f t="shared" si="6"/>
        <v>36792</v>
      </c>
      <c r="G151" s="50">
        <f t="shared" si="6"/>
        <v>48180</v>
      </c>
      <c r="H151" s="50">
        <f t="shared" si="6"/>
        <v>58692</v>
      </c>
      <c r="I151" s="50">
        <f t="shared" si="6"/>
        <v>66576</v>
      </c>
    </row>
    <row r="152" spans="1:9" ht="12.75">
      <c r="A152" s="49"/>
      <c r="B152" s="49" t="s">
        <v>151</v>
      </c>
      <c r="C152" s="49"/>
      <c r="D152" s="49"/>
      <c r="E152" s="50">
        <f t="shared" si="6"/>
        <v>67392</v>
      </c>
      <c r="F152" s="50">
        <f t="shared" si="6"/>
        <v>117936</v>
      </c>
      <c r="G152" s="50">
        <f t="shared" si="6"/>
        <v>154440</v>
      </c>
      <c r="H152" s="50">
        <f t="shared" si="6"/>
        <v>188136</v>
      </c>
      <c r="I152" s="50">
        <f t="shared" si="6"/>
        <v>213408</v>
      </c>
    </row>
    <row r="153" spans="1:9" ht="12.75">
      <c r="A153" s="49"/>
      <c r="B153" s="49" t="s">
        <v>152</v>
      </c>
      <c r="C153" s="49"/>
      <c r="D153" s="49"/>
      <c r="E153" s="50">
        <f t="shared" si="6"/>
        <v>14400</v>
      </c>
      <c r="F153" s="50">
        <f t="shared" si="6"/>
        <v>25200</v>
      </c>
      <c r="G153" s="50">
        <f t="shared" si="6"/>
        <v>33000</v>
      </c>
      <c r="H153" s="50">
        <f t="shared" si="6"/>
        <v>40200</v>
      </c>
      <c r="I153" s="50">
        <f t="shared" si="6"/>
        <v>45600</v>
      </c>
    </row>
    <row r="154" spans="1:9" ht="12.75">
      <c r="A154" s="49"/>
      <c r="B154" s="49" t="s">
        <v>263</v>
      </c>
      <c r="C154" s="49"/>
      <c r="D154" s="49"/>
      <c r="E154" s="53">
        <f>SUM(E140:E153)</f>
        <v>1612198</v>
      </c>
      <c r="F154" s="53">
        <f>SUM(F140:F153)</f>
        <v>2643234</v>
      </c>
      <c r="G154" s="53">
        <f>SUM(G140:G153)</f>
        <v>3554060</v>
      </c>
      <c r="H154" s="53">
        <f>SUM(H140:H153)</f>
        <v>5303784</v>
      </c>
      <c r="I154" s="53">
        <f>SUM(I140:I153)</f>
        <v>9309752</v>
      </c>
    </row>
    <row r="155" spans="1:9" ht="12.75">
      <c r="A155" s="49"/>
      <c r="B155" s="49" t="s">
        <v>195</v>
      </c>
      <c r="C155" s="49"/>
      <c r="D155" s="49"/>
      <c r="E155" s="50">
        <f>E138+E154</f>
        <v>2621939.3333333335</v>
      </c>
      <c r="F155" s="50">
        <f>F138+F154</f>
        <v>6925364.333333334</v>
      </c>
      <c r="G155" s="50">
        <f>G138+G154</f>
        <v>9831993.05</v>
      </c>
      <c r="H155" s="50">
        <f>H138+H154</f>
        <v>13347288.7425</v>
      </c>
      <c r="I155" s="50">
        <f>I138+I154</f>
        <v>18971909.479625</v>
      </c>
    </row>
    <row r="156" spans="1:9" ht="12.75">
      <c r="A156" s="49"/>
      <c r="B156" s="49"/>
      <c r="C156" s="49" t="s">
        <v>155</v>
      </c>
      <c r="D156" s="49"/>
      <c r="E156" s="52">
        <f>E32+E63+E94+E125</f>
        <v>2342760</v>
      </c>
      <c r="F156" s="52">
        <f>F32+F63+F94+F125</f>
        <v>4640720</v>
      </c>
      <c r="G156" s="52">
        <f>G32+G63+G94+G125</f>
        <v>4599120</v>
      </c>
      <c r="H156" s="52">
        <f>H32+H63+H94+H125</f>
        <v>8507232</v>
      </c>
      <c r="I156" s="52">
        <f>I32+I63+I94+I125</f>
        <v>9887232</v>
      </c>
    </row>
    <row r="157" spans="1:9" ht="13.5" thickBot="1">
      <c r="A157" s="49" t="s">
        <v>376</v>
      </c>
      <c r="B157" s="49"/>
      <c r="C157" s="49"/>
      <c r="D157" s="49"/>
      <c r="E157" s="54">
        <f>E155+E156</f>
        <v>4964699.333333334</v>
      </c>
      <c r="F157" s="54">
        <f>F155+F156</f>
        <v>11566084.333333334</v>
      </c>
      <c r="G157" s="54">
        <f>G155+G156</f>
        <v>14431113.05</v>
      </c>
      <c r="H157" s="54">
        <f>H155+H156</f>
        <v>21854520.7425</v>
      </c>
      <c r="I157" s="54">
        <f>I155+I156</f>
        <v>28859141.479625</v>
      </c>
    </row>
    <row r="158" spans="5:9" ht="13.5" thickTop="1">
      <c r="E158" s="4"/>
      <c r="F158" s="4"/>
      <c r="G158" s="4"/>
      <c r="H158" s="4"/>
      <c r="I158" s="4"/>
    </row>
    <row r="159" spans="5:9" ht="12.75">
      <c r="E159" s="4"/>
      <c r="F159" s="4"/>
      <c r="G159" s="4"/>
      <c r="H159" s="4"/>
      <c r="I159" s="4"/>
    </row>
    <row r="160" spans="5:9" ht="12.75">
      <c r="E160" s="4"/>
      <c r="F160" s="4"/>
      <c r="G160" s="4"/>
      <c r="H160" s="4"/>
      <c r="I160" s="4"/>
    </row>
    <row r="161" spans="1:9" ht="12.75">
      <c r="A161" s="66"/>
      <c r="B161" s="66" t="s">
        <v>377</v>
      </c>
      <c r="C161" s="66"/>
      <c r="D161" s="66"/>
      <c r="E161" s="67">
        <f>Headcount!G147</f>
        <v>31</v>
      </c>
      <c r="F161" s="67">
        <f>Headcount!H147</f>
        <v>52</v>
      </c>
      <c r="G161" s="67">
        <f>Headcount!I147</f>
        <v>69</v>
      </c>
      <c r="H161" s="67">
        <f>Headcount!J147</f>
        <v>85</v>
      </c>
      <c r="I161" s="67">
        <f>Headcount!K147</f>
        <v>100</v>
      </c>
    </row>
    <row r="162" spans="1:9" ht="12.75">
      <c r="A162" s="66"/>
      <c r="B162" s="66" t="s">
        <v>155</v>
      </c>
      <c r="C162" s="66"/>
      <c r="D162" s="66"/>
      <c r="E162" s="67">
        <f>'Cap Exp'!E113+Rent1999</f>
        <v>2342760</v>
      </c>
      <c r="F162" s="67">
        <f>'Cap Exp'!F113+Rent2000</f>
        <v>4640720</v>
      </c>
      <c r="G162" s="67">
        <f>'Cap Exp'!G113+Rent2001</f>
        <v>4599120</v>
      </c>
      <c r="H162" s="67">
        <f>'Cap Exp'!H113+Rent2002</f>
        <v>8507232</v>
      </c>
      <c r="I162" s="67">
        <f>'Cap Exp'!I113+Rent2003</f>
        <v>9887232</v>
      </c>
    </row>
    <row r="163" spans="1:9" ht="12.75">
      <c r="A163" s="66"/>
      <c r="B163" s="66" t="s">
        <v>193</v>
      </c>
      <c r="C163" s="66"/>
      <c r="D163" s="66"/>
      <c r="E163" s="67">
        <f>E14+E45+E76</f>
        <v>835258</v>
      </c>
      <c r="F163" s="67">
        <f>F14+F45+F76</f>
        <v>3350650.333333333</v>
      </c>
      <c r="G163" s="67">
        <f>G14+G45+G76</f>
        <v>4822771.05</v>
      </c>
      <c r="H163" s="67">
        <f>H14+H45+H76</f>
        <v>6140182.5424999995</v>
      </c>
      <c r="I163" s="67">
        <f>I14+I45+I76</f>
        <v>7116975.669625</v>
      </c>
    </row>
    <row r="164" spans="1:9" ht="12.75">
      <c r="A164" s="66"/>
      <c r="B164" s="66" t="s">
        <v>194</v>
      </c>
      <c r="C164" s="66"/>
      <c r="D164" s="66"/>
      <c r="E164" s="68">
        <f>E30+E61+E92</f>
        <v>1520348</v>
      </c>
      <c r="F164" s="68">
        <f>F30+F61+F92</f>
        <v>2534184</v>
      </c>
      <c r="G164" s="68">
        <f>G30+G61+G92</f>
        <v>3411160</v>
      </c>
      <c r="H164" s="68">
        <f>H30+H61+H92</f>
        <v>5146884</v>
      </c>
      <c r="I164" s="68">
        <f>I30+I61+I92</f>
        <v>9114552</v>
      </c>
    </row>
    <row r="165" spans="1:9" ht="13.5" thickBot="1">
      <c r="A165" s="66"/>
      <c r="B165" s="66" t="s">
        <v>195</v>
      </c>
      <c r="C165" s="66"/>
      <c r="D165" s="66"/>
      <c r="E165" s="69">
        <f>SUM(E162:E164)</f>
        <v>4698366</v>
      </c>
      <c r="F165" s="69">
        <f>SUM(F162:F164)</f>
        <v>10525554.333333332</v>
      </c>
      <c r="G165" s="69">
        <f>SUM(G162:G164)</f>
        <v>12833051.05</v>
      </c>
      <c r="H165" s="69">
        <f>SUM(H162:H164)</f>
        <v>19794298.5425</v>
      </c>
      <c r="I165" s="69">
        <f>SUM(I162:I164)</f>
        <v>26118759.669625</v>
      </c>
    </row>
    <row r="166" spans="1:9" ht="13.5" thickTop="1">
      <c r="A166" s="35"/>
      <c r="B166" s="35"/>
      <c r="C166" s="35"/>
      <c r="D166" s="35"/>
      <c r="E166" s="55"/>
      <c r="F166" s="55"/>
      <c r="G166" s="55"/>
      <c r="H166" s="55"/>
      <c r="I166" s="55"/>
    </row>
    <row r="167" spans="1:9" ht="12.75">
      <c r="A167" s="35"/>
      <c r="B167" s="35"/>
      <c r="C167" s="35"/>
      <c r="D167" s="35"/>
      <c r="E167" s="55"/>
      <c r="F167" s="55"/>
      <c r="G167" s="55"/>
      <c r="H167" s="55"/>
      <c r="I167" s="55"/>
    </row>
    <row r="168" spans="1:9" ht="12.75">
      <c r="A168" s="35"/>
      <c r="B168" s="35"/>
      <c r="C168" s="35"/>
      <c r="D168" s="35"/>
      <c r="E168" s="55"/>
      <c r="F168" s="55"/>
      <c r="G168" s="55"/>
      <c r="H168" s="55"/>
      <c r="I168" s="55"/>
    </row>
    <row r="196" spans="5:9" ht="12.75">
      <c r="E196" s="4"/>
      <c r="F196" s="4"/>
      <c r="G196" s="4"/>
      <c r="H196" s="4"/>
      <c r="I196" s="4"/>
    </row>
    <row r="197" spans="5:9" ht="12.75">
      <c r="E197" s="4"/>
      <c r="F197" s="4"/>
      <c r="G197" s="4"/>
      <c r="H197" s="4"/>
      <c r="I197" s="4"/>
    </row>
    <row r="198" spans="5:9" ht="12.75">
      <c r="E198" s="4"/>
      <c r="F198" s="4"/>
      <c r="G198" s="4"/>
      <c r="H198" s="4"/>
      <c r="I198" s="4"/>
    </row>
    <row r="199" spans="5:9" ht="12.75">
      <c r="E199" s="4"/>
      <c r="F199" s="4"/>
      <c r="G199" s="4"/>
      <c r="H199" s="4"/>
      <c r="I199" s="4"/>
    </row>
    <row r="200" spans="5:9" ht="12.75">
      <c r="E200" s="4"/>
      <c r="F200" s="4"/>
      <c r="G200" s="4"/>
      <c r="H200" s="4"/>
      <c r="I200" s="4"/>
    </row>
    <row r="201" spans="5:9" ht="12.75">
      <c r="E201" s="4"/>
      <c r="F201" s="4"/>
      <c r="G201" s="4"/>
      <c r="H201" s="4"/>
      <c r="I201" s="4"/>
    </row>
    <row r="202" spans="5:9" ht="12.75">
      <c r="E202" s="4"/>
      <c r="F202" s="4"/>
      <c r="G202" s="4"/>
      <c r="H202" s="4"/>
      <c r="I202" s="4"/>
    </row>
    <row r="203" spans="5:9" ht="12.75">
      <c r="E203" s="4"/>
      <c r="F203" s="4"/>
      <c r="G203" s="4"/>
      <c r="H203" s="4"/>
      <c r="I203" s="4"/>
    </row>
    <row r="204" spans="5:9" ht="12.75">
      <c r="E204" s="4"/>
      <c r="F204" s="4"/>
      <c r="G204" s="4"/>
      <c r="H204" s="4"/>
      <c r="I204" s="4"/>
    </row>
    <row r="205" spans="5:9" ht="12.75">
      <c r="E205" s="4"/>
      <c r="F205" s="4"/>
      <c r="G205" s="4"/>
      <c r="H205" s="4"/>
      <c r="I205" s="4"/>
    </row>
    <row r="206" spans="5:9" ht="12.75">
      <c r="E206" s="4"/>
      <c r="F206" s="4"/>
      <c r="G206" s="4"/>
      <c r="H206" s="4"/>
      <c r="I206" s="4"/>
    </row>
    <row r="207" spans="5:9" ht="12.75">
      <c r="E207" s="4"/>
      <c r="F207" s="4"/>
      <c r="G207" s="4"/>
      <c r="H207" s="4"/>
      <c r="I207" s="4"/>
    </row>
    <row r="208" spans="5:9" ht="12.75">
      <c r="E208" s="4"/>
      <c r="F208" s="4"/>
      <c r="G208" s="4"/>
      <c r="H208" s="4"/>
      <c r="I208" s="4"/>
    </row>
    <row r="209" spans="5:9" ht="12.75">
      <c r="E209" s="4"/>
      <c r="F209" s="4"/>
      <c r="G209" s="4"/>
      <c r="H209" s="4"/>
      <c r="I209" s="4"/>
    </row>
    <row r="210" spans="5:9" ht="12.75">
      <c r="E210" s="4"/>
      <c r="F210" s="4"/>
      <c r="G210" s="4"/>
      <c r="H210" s="4"/>
      <c r="I210" s="4"/>
    </row>
    <row r="211" spans="5:9" ht="12.75">
      <c r="E211" s="4"/>
      <c r="F211" s="4"/>
      <c r="G211" s="4"/>
      <c r="H211" s="4"/>
      <c r="I211" s="4"/>
    </row>
    <row r="212" spans="5:9" ht="12.75">
      <c r="E212" s="4"/>
      <c r="F212" s="4"/>
      <c r="G212" s="4"/>
      <c r="H212" s="4"/>
      <c r="I212" s="4"/>
    </row>
    <row r="213" spans="5:9" ht="12.75">
      <c r="E213" s="4"/>
      <c r="F213" s="4"/>
      <c r="G213" s="4"/>
      <c r="H213" s="4"/>
      <c r="I213" s="4"/>
    </row>
    <row r="214" spans="5:9" ht="12.75">
      <c r="E214" s="4"/>
      <c r="F214" s="4"/>
      <c r="G214" s="4"/>
      <c r="H214" s="4"/>
      <c r="I214" s="4"/>
    </row>
    <row r="215" spans="5:9" ht="12.75">
      <c r="E215" s="4"/>
      <c r="F215" s="4"/>
      <c r="G215" s="4"/>
      <c r="H215" s="4"/>
      <c r="I215" s="4"/>
    </row>
    <row r="216" spans="5:9" ht="12.75">
      <c r="E216" s="4"/>
      <c r="F216" s="4"/>
      <c r="G216" s="4"/>
      <c r="H216" s="4"/>
      <c r="I216" s="4"/>
    </row>
    <row r="217" spans="5:9" ht="12.75">
      <c r="E217" s="4"/>
      <c r="F217" s="4"/>
      <c r="G217" s="4"/>
      <c r="H217" s="4"/>
      <c r="I217" s="4"/>
    </row>
    <row r="218" spans="5:9" ht="12.75">
      <c r="E218" s="4"/>
      <c r="F218" s="4"/>
      <c r="G218" s="4"/>
      <c r="H218" s="4"/>
      <c r="I218" s="4"/>
    </row>
    <row r="219" spans="5:9" ht="12.75">
      <c r="E219" s="4"/>
      <c r="F219" s="4"/>
      <c r="G219" s="4"/>
      <c r="H219" s="4"/>
      <c r="I219" s="4"/>
    </row>
    <row r="220" spans="5:9" ht="12.75">
      <c r="E220" s="4"/>
      <c r="F220" s="4"/>
      <c r="G220" s="4"/>
      <c r="H220" s="4"/>
      <c r="I220" s="4"/>
    </row>
    <row r="221" spans="5:9" ht="12.75">
      <c r="E221" s="4"/>
      <c r="F221" s="4"/>
      <c r="G221" s="4"/>
      <c r="H221" s="4"/>
      <c r="I221" s="4"/>
    </row>
    <row r="222" spans="5:9" ht="12.75">
      <c r="E222" s="4"/>
      <c r="F222" s="4"/>
      <c r="G222" s="4"/>
      <c r="H222" s="4"/>
      <c r="I222" s="4"/>
    </row>
    <row r="223" spans="5:9" ht="12.75">
      <c r="E223" s="4"/>
      <c r="F223" s="4"/>
      <c r="G223" s="4"/>
      <c r="H223" s="4"/>
      <c r="I223" s="4"/>
    </row>
    <row r="224" spans="5:9" ht="12.75">
      <c r="E224" s="4"/>
      <c r="F224" s="4"/>
      <c r="G224" s="4"/>
      <c r="H224" s="4"/>
      <c r="I224" s="4"/>
    </row>
    <row r="225" spans="5:9" ht="12.75">
      <c r="E225" s="4"/>
      <c r="F225" s="4"/>
      <c r="G225" s="4"/>
      <c r="H225" s="4"/>
      <c r="I225" s="4"/>
    </row>
    <row r="226" spans="5:9" ht="12.75">
      <c r="E226" s="4"/>
      <c r="F226" s="4"/>
      <c r="G226" s="4"/>
      <c r="H226" s="4"/>
      <c r="I226" s="4"/>
    </row>
    <row r="227" spans="5:9" ht="12.75">
      <c r="E227" s="4"/>
      <c r="F227" s="4"/>
      <c r="G227" s="4"/>
      <c r="H227" s="4"/>
      <c r="I227" s="4"/>
    </row>
    <row r="228" spans="5:9" ht="12.75">
      <c r="E228" s="4"/>
      <c r="F228" s="4"/>
      <c r="G228" s="4"/>
      <c r="H228" s="4"/>
      <c r="I228" s="4"/>
    </row>
    <row r="229" spans="5:9" ht="12.75">
      <c r="E229" s="4"/>
      <c r="F229" s="4"/>
      <c r="G229" s="4"/>
      <c r="H229" s="4"/>
      <c r="I229" s="4"/>
    </row>
    <row r="230" spans="5:9" ht="12.75">
      <c r="E230" s="4"/>
      <c r="F230" s="4"/>
      <c r="G230" s="4"/>
      <c r="H230" s="4"/>
      <c r="I230" s="4"/>
    </row>
    <row r="231" spans="5:9" ht="12.75">
      <c r="E231" s="4"/>
      <c r="F231" s="4"/>
      <c r="G231" s="4"/>
      <c r="H231" s="4"/>
      <c r="I231" s="4"/>
    </row>
    <row r="232" spans="5:9" ht="12.75">
      <c r="E232" s="4"/>
      <c r="F232" s="4"/>
      <c r="G232" s="4"/>
      <c r="H232" s="4"/>
      <c r="I232" s="4"/>
    </row>
    <row r="233" spans="5:9" ht="12.75">
      <c r="E233" s="4"/>
      <c r="F233" s="4"/>
      <c r="G233" s="4"/>
      <c r="H233" s="4"/>
      <c r="I233" s="4"/>
    </row>
    <row r="234" spans="5:9" ht="12.75">
      <c r="E234" s="4"/>
      <c r="F234" s="4"/>
      <c r="G234" s="4"/>
      <c r="H234" s="4"/>
      <c r="I234" s="4"/>
    </row>
    <row r="235" spans="5:9" ht="12.75">
      <c r="E235" s="4"/>
      <c r="F235" s="4"/>
      <c r="G235" s="4"/>
      <c r="H235" s="4"/>
      <c r="I235" s="4"/>
    </row>
    <row r="236" spans="5:9" ht="12.75">
      <c r="E236" s="4"/>
      <c r="F236" s="4"/>
      <c r="G236" s="4"/>
      <c r="H236" s="4"/>
      <c r="I236" s="4"/>
    </row>
    <row r="237" spans="5:9" ht="12.75">
      <c r="E237" s="4"/>
      <c r="F237" s="4"/>
      <c r="G237" s="4"/>
      <c r="H237" s="4"/>
      <c r="I237" s="4"/>
    </row>
    <row r="238" spans="5:9" ht="12.75">
      <c r="E238" s="4"/>
      <c r="F238" s="4"/>
      <c r="G238" s="4"/>
      <c r="H238" s="4"/>
      <c r="I238" s="4"/>
    </row>
    <row r="239" spans="5:9" ht="12.75">
      <c r="E239" s="4"/>
      <c r="F239" s="4"/>
      <c r="G239" s="4"/>
      <c r="H239" s="4"/>
      <c r="I239" s="4"/>
    </row>
    <row r="240" spans="5:9" ht="12.75">
      <c r="E240" s="4"/>
      <c r="F240" s="4"/>
      <c r="G240" s="4"/>
      <c r="H240" s="4"/>
      <c r="I240" s="4"/>
    </row>
    <row r="241" spans="5:9" ht="12.75">
      <c r="E241" s="4"/>
      <c r="F241" s="4"/>
      <c r="G241" s="4"/>
      <c r="H241" s="4"/>
      <c r="I241" s="4"/>
    </row>
    <row r="242" spans="5:9" ht="12.75">
      <c r="E242" s="4"/>
      <c r="F242" s="4"/>
      <c r="G242" s="4"/>
      <c r="H242" s="4"/>
      <c r="I242" s="4"/>
    </row>
    <row r="243" spans="5:9" ht="12.75">
      <c r="E243" s="4"/>
      <c r="F243" s="4"/>
      <c r="G243" s="4"/>
      <c r="H243" s="4"/>
      <c r="I243" s="4"/>
    </row>
    <row r="244" spans="5:9" ht="12.75">
      <c r="E244" s="4"/>
      <c r="F244" s="4"/>
      <c r="G244" s="4"/>
      <c r="H244" s="4"/>
      <c r="I244" s="4"/>
    </row>
    <row r="245" spans="5:9" ht="12.75">
      <c r="E245" s="4"/>
      <c r="F245" s="4"/>
      <c r="G245" s="4"/>
      <c r="H245" s="4"/>
      <c r="I245" s="4"/>
    </row>
    <row r="246" spans="5:9" ht="12.75">
      <c r="E246" s="4"/>
      <c r="F246" s="4"/>
      <c r="G246" s="4"/>
      <c r="H246" s="4"/>
      <c r="I246" s="4"/>
    </row>
    <row r="247" spans="5:9" ht="12.75">
      <c r="E247" s="4"/>
      <c r="F247" s="4"/>
      <c r="G247" s="4"/>
      <c r="H247" s="4"/>
      <c r="I247" s="4"/>
    </row>
    <row r="248" spans="5:9" ht="12.75">
      <c r="E248" s="4"/>
      <c r="F248" s="4"/>
      <c r="G248" s="4"/>
      <c r="H248" s="4"/>
      <c r="I248" s="4"/>
    </row>
    <row r="249" spans="5:9" ht="12.75">
      <c r="E249" s="4"/>
      <c r="F249" s="4"/>
      <c r="G249" s="4"/>
      <c r="H249" s="4"/>
      <c r="I249" s="4"/>
    </row>
    <row r="250" spans="5:9" ht="12.75">
      <c r="E250" s="4"/>
      <c r="F250" s="4"/>
      <c r="G250" s="4"/>
      <c r="H250" s="4"/>
      <c r="I250" s="4"/>
    </row>
    <row r="251" spans="5:9" ht="12.75">
      <c r="E251" s="4"/>
      <c r="F251" s="4"/>
      <c r="G251" s="4"/>
      <c r="H251" s="4"/>
      <c r="I251" s="4"/>
    </row>
    <row r="252" spans="5:9" ht="12.75">
      <c r="E252" s="4"/>
      <c r="F252" s="4"/>
      <c r="G252" s="4"/>
      <c r="H252" s="4"/>
      <c r="I252" s="4"/>
    </row>
    <row r="253" spans="5:9" ht="12.75">
      <c r="E253" s="4"/>
      <c r="F253" s="4"/>
      <c r="G253" s="4"/>
      <c r="H253" s="4"/>
      <c r="I253" s="4"/>
    </row>
    <row r="254" spans="5:9" ht="12.75">
      <c r="E254" s="4"/>
      <c r="F254" s="4"/>
      <c r="G254" s="4"/>
      <c r="H254" s="4"/>
      <c r="I254" s="4"/>
    </row>
    <row r="255" spans="5:9" ht="12.75">
      <c r="E255" s="4"/>
      <c r="F255" s="4"/>
      <c r="G255" s="4"/>
      <c r="H255" s="4"/>
      <c r="I255" s="4"/>
    </row>
    <row r="256" spans="5:9" ht="12.75">
      <c r="E256" s="4"/>
      <c r="F256" s="4"/>
      <c r="G256" s="4"/>
      <c r="H256" s="4"/>
      <c r="I256" s="4"/>
    </row>
    <row r="257" spans="5:9" ht="12.75">
      <c r="E257" s="4"/>
      <c r="F257" s="4"/>
      <c r="G257" s="4"/>
      <c r="H257" s="4"/>
      <c r="I257" s="4"/>
    </row>
    <row r="258" spans="5:9" ht="12.75">
      <c r="E258" s="4"/>
      <c r="F258" s="4"/>
      <c r="G258" s="4"/>
      <c r="H258" s="4"/>
      <c r="I258" s="4"/>
    </row>
  </sheetData>
  <sheetProtection/>
  <printOptions/>
  <pageMargins left="0.5" right="0.5" top="1" bottom="1" header="0.5" footer="0.5"/>
  <pageSetup horizontalDpi="300" verticalDpi="300" orientation="portrait" r:id="rId1"/>
  <headerFooter alignWithMargins="0">
    <oddHeader>&amp;C&amp;"Arial,Bold"&amp;14Personnel Projections&amp;10
</oddHeader>
  </headerFooter>
  <rowBreaks count="4" manualBreakCount="4">
    <brk id="34" max="255" man="1"/>
    <brk id="65" max="255" man="1"/>
    <brk id="96" max="255" man="1"/>
    <brk id="12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3:P694"/>
  <sheetViews>
    <sheetView showOutlineSymbols="0" zoomScalePageLayoutView="0" workbookViewId="0" topLeftCell="A3">
      <pane ySplit="1020" topLeftCell="A1" activePane="bottomLeft" state="split"/>
      <selection pane="topLeft" activeCell="G3" sqref="G3:K4"/>
      <selection pane="bottomLeft" activeCell="N12" sqref="N12"/>
    </sheetView>
  </sheetViews>
  <sheetFormatPr defaultColWidth="9.140625" defaultRowHeight="12.75" outlineLevelCol="5"/>
  <cols>
    <col min="1" max="2" width="2.7109375" style="1" customWidth="1"/>
    <col min="3" max="3" width="22.57421875" style="1" customWidth="1"/>
    <col min="4" max="4" width="6.00390625" style="1" customWidth="1" outlineLevel="5"/>
    <col min="5" max="5" width="7.28125" style="0" customWidth="1" outlineLevel="5"/>
    <col min="6" max="6" width="6.28125" style="0" customWidth="1" outlineLevel="5"/>
    <col min="7" max="11" width="8.7109375" style="0" customWidth="1"/>
  </cols>
  <sheetData>
    <row r="3" s="1" customFormat="1" ht="12.75">
      <c r="G3" s="6">
        <v>2007</v>
      </c>
    </row>
    <row r="4" spans="1:11" s="1" customFormat="1" ht="38.25">
      <c r="A4" s="2" t="s">
        <v>32</v>
      </c>
      <c r="B4" s="2"/>
      <c r="D4" s="10" t="s">
        <v>371</v>
      </c>
      <c r="E4" s="10" t="s">
        <v>80</v>
      </c>
      <c r="F4" s="10" t="s">
        <v>81</v>
      </c>
      <c r="G4" s="10" t="s">
        <v>386</v>
      </c>
      <c r="H4" s="6">
        <f>G3+1</f>
        <v>2008</v>
      </c>
      <c r="I4" s="72">
        <f>H4+1</f>
        <v>2009</v>
      </c>
      <c r="J4" s="72">
        <f>I4+1</f>
        <v>2010</v>
      </c>
      <c r="K4" s="72">
        <f>J4+1</f>
        <v>2011</v>
      </c>
    </row>
    <row r="5" spans="1:11" s="1" customFormat="1" ht="12.75">
      <c r="A5" s="2" t="s">
        <v>387</v>
      </c>
      <c r="B5" s="2"/>
      <c r="D5" s="4"/>
      <c r="E5" s="4"/>
      <c r="F5" s="4"/>
      <c r="G5" s="4" t="s">
        <v>385</v>
      </c>
      <c r="H5" s="4"/>
      <c r="I5" s="4"/>
      <c r="J5" s="4"/>
      <c r="K5" s="4"/>
    </row>
    <row r="6" spans="3:11" s="1" customFormat="1" ht="12.75">
      <c r="C6" s="1" t="s">
        <v>79</v>
      </c>
      <c r="D6" s="4">
        <v>1</v>
      </c>
      <c r="E6" s="4">
        <v>150000</v>
      </c>
      <c r="F6" s="11">
        <v>1999</v>
      </c>
      <c r="G6" s="4">
        <v>75000</v>
      </c>
      <c r="H6" s="4">
        <v>175000</v>
      </c>
      <c r="I6" s="4">
        <v>200000</v>
      </c>
      <c r="J6" s="4">
        <f aca="true" t="shared" si="0" ref="J6:K9">I6*1.05</f>
        <v>210000</v>
      </c>
      <c r="K6" s="4">
        <f t="shared" si="0"/>
        <v>220500</v>
      </c>
    </row>
    <row r="7" spans="3:11" s="1" customFormat="1" ht="12.75">
      <c r="C7" s="1" t="s">
        <v>317</v>
      </c>
      <c r="D7" s="4">
        <v>1</v>
      </c>
      <c r="E7" s="4">
        <v>140000</v>
      </c>
      <c r="F7" s="11">
        <v>2000</v>
      </c>
      <c r="G7" s="4"/>
      <c r="H7" s="4">
        <f>E7/12*9</f>
        <v>105000</v>
      </c>
      <c r="I7" s="4">
        <v>160000</v>
      </c>
      <c r="J7" s="4">
        <f>Annual_Salary*1.05</f>
        <v>147000</v>
      </c>
      <c r="K7" s="4">
        <f t="shared" si="0"/>
        <v>154350</v>
      </c>
    </row>
    <row r="8" spans="3:11" s="1" customFormat="1" ht="12.75">
      <c r="C8" s="1" t="s">
        <v>33</v>
      </c>
      <c r="D8" s="4">
        <v>1</v>
      </c>
      <c r="E8" s="4">
        <v>110000</v>
      </c>
      <c r="F8" s="11">
        <v>2000</v>
      </c>
      <c r="G8" s="4"/>
      <c r="H8" s="4">
        <f>Annual_Salary/12*6</f>
        <v>55000</v>
      </c>
      <c r="I8" s="4">
        <f>Annual_Salary*1.05</f>
        <v>115500</v>
      </c>
      <c r="J8" s="4">
        <f t="shared" si="0"/>
        <v>121275</v>
      </c>
      <c r="K8" s="4">
        <f t="shared" si="0"/>
        <v>127338.75</v>
      </c>
    </row>
    <row r="9" spans="3:11" s="1" customFormat="1" ht="12.75">
      <c r="C9" s="1" t="s">
        <v>34</v>
      </c>
      <c r="D9" s="4">
        <v>1</v>
      </c>
      <c r="E9" s="4">
        <v>75000</v>
      </c>
      <c r="F9" s="11">
        <v>1999</v>
      </c>
      <c r="G9" s="4">
        <f>Annual_Salary/12*6</f>
        <v>37500</v>
      </c>
      <c r="H9" s="4">
        <f>Annual_Salary</f>
        <v>75000</v>
      </c>
      <c r="I9" s="4">
        <f>Annual_Salary*1.05</f>
        <v>78750</v>
      </c>
      <c r="J9" s="4">
        <f t="shared" si="0"/>
        <v>82687.5</v>
      </c>
      <c r="K9" s="4">
        <f t="shared" si="0"/>
        <v>86821.875</v>
      </c>
    </row>
    <row r="10" spans="3:11" s="1" customFormat="1" ht="12.75">
      <c r="C10" s="1" t="s">
        <v>208</v>
      </c>
      <c r="D10" s="4">
        <v>1</v>
      </c>
      <c r="E10" s="4">
        <v>55000</v>
      </c>
      <c r="F10" s="11">
        <v>2002</v>
      </c>
      <c r="G10" s="4"/>
      <c r="H10" s="4"/>
      <c r="I10" s="4"/>
      <c r="J10" s="4">
        <f>Annual_Salary</f>
        <v>55000</v>
      </c>
      <c r="K10" s="4">
        <f aca="true" t="shared" si="1" ref="K10:K15">J10*1.05</f>
        <v>57750</v>
      </c>
    </row>
    <row r="11" spans="3:11" s="1" customFormat="1" ht="12.75">
      <c r="C11" s="1" t="s">
        <v>35</v>
      </c>
      <c r="D11" s="4">
        <v>1</v>
      </c>
      <c r="E11" s="4">
        <v>85000</v>
      </c>
      <c r="F11" s="11">
        <v>2001</v>
      </c>
      <c r="G11" s="4"/>
      <c r="H11" s="4"/>
      <c r="I11" s="4">
        <f>Annual_Salary</f>
        <v>85000</v>
      </c>
      <c r="J11" s="4">
        <f>I11*1.05</f>
        <v>89250</v>
      </c>
      <c r="K11" s="4">
        <f t="shared" si="1"/>
        <v>93712.5</v>
      </c>
    </row>
    <row r="12" spans="3:11" s="1" customFormat="1" ht="12.75">
      <c r="C12" s="1" t="s">
        <v>267</v>
      </c>
      <c r="D12" s="4">
        <v>1</v>
      </c>
      <c r="E12" s="4">
        <v>70000</v>
      </c>
      <c r="F12" s="11">
        <v>1999</v>
      </c>
      <c r="G12" s="4">
        <f>Annual_Salary/12*6</f>
        <v>35000</v>
      </c>
      <c r="H12" s="4">
        <f>Annual_Salary*1.05</f>
        <v>73500</v>
      </c>
      <c r="I12" s="4">
        <f>Annual_Salary*1.05</f>
        <v>73500</v>
      </c>
      <c r="J12" s="4">
        <f>I12*1.05</f>
        <v>77175</v>
      </c>
      <c r="K12" s="4">
        <f t="shared" si="1"/>
        <v>81033.75</v>
      </c>
    </row>
    <row r="13" spans="3:11" s="1" customFormat="1" ht="12.75">
      <c r="C13" s="1" t="s">
        <v>36</v>
      </c>
      <c r="D13" s="4">
        <v>1</v>
      </c>
      <c r="E13" s="4">
        <v>65000</v>
      </c>
      <c r="F13" s="11">
        <v>2002</v>
      </c>
      <c r="G13" s="4"/>
      <c r="H13" s="4"/>
      <c r="I13" s="4"/>
      <c r="J13" s="4">
        <f>Annual_Salary</f>
        <v>65000</v>
      </c>
      <c r="K13" s="4">
        <f t="shared" si="1"/>
        <v>68250</v>
      </c>
    </row>
    <row r="14" spans="3:11" s="1" customFormat="1" ht="12.75">
      <c r="C14" s="1" t="s">
        <v>37</v>
      </c>
      <c r="D14" s="4">
        <v>1</v>
      </c>
      <c r="E14" s="4">
        <v>60000</v>
      </c>
      <c r="F14" s="11">
        <v>2001</v>
      </c>
      <c r="G14" s="4"/>
      <c r="H14" s="4"/>
      <c r="I14" s="4">
        <f>Annual_Salary</f>
        <v>60000</v>
      </c>
      <c r="J14" s="4">
        <f>I14*1.05</f>
        <v>63000</v>
      </c>
      <c r="K14" s="4">
        <f t="shared" si="1"/>
        <v>66150</v>
      </c>
    </row>
    <row r="15" spans="3:11" s="1" customFormat="1" ht="12.75">
      <c r="C15" s="1" t="s">
        <v>37</v>
      </c>
      <c r="D15" s="4">
        <v>1</v>
      </c>
      <c r="E15" s="4">
        <v>65000</v>
      </c>
      <c r="F15" s="11">
        <v>2002</v>
      </c>
      <c r="G15" s="4"/>
      <c r="H15" s="4"/>
      <c r="I15" s="4"/>
      <c r="J15" s="4">
        <f>Annual_Salary</f>
        <v>65000</v>
      </c>
      <c r="K15" s="4">
        <f t="shared" si="1"/>
        <v>68250</v>
      </c>
    </row>
    <row r="16" spans="3:11" s="1" customFormat="1" ht="12.75">
      <c r="C16" s="1" t="s">
        <v>38</v>
      </c>
      <c r="D16" s="4">
        <v>1</v>
      </c>
      <c r="E16" s="4">
        <v>65000</v>
      </c>
      <c r="F16" s="11">
        <v>2000</v>
      </c>
      <c r="G16" s="4"/>
      <c r="H16" s="4">
        <f>Annual_Salary</f>
        <v>65000</v>
      </c>
      <c r="I16" s="4">
        <f>Annual_Salary*1.05</f>
        <v>68250</v>
      </c>
      <c r="J16" s="4">
        <f>I16*1.05</f>
        <v>71662.5</v>
      </c>
      <c r="K16" s="4">
        <f>J16*1.05</f>
        <v>75245.625</v>
      </c>
    </row>
    <row r="17" spans="3:11" s="1" customFormat="1" ht="12.75">
      <c r="C17" s="1" t="s">
        <v>38</v>
      </c>
      <c r="D17" s="4">
        <v>1</v>
      </c>
      <c r="E17" s="4">
        <v>55000</v>
      </c>
      <c r="F17" s="11">
        <v>2001</v>
      </c>
      <c r="G17" s="4"/>
      <c r="H17" s="4"/>
      <c r="I17" s="4">
        <f>Annual_Salary</f>
        <v>55000</v>
      </c>
      <c r="J17" s="4">
        <f aca="true" t="shared" si="2" ref="J17:K20">I17*1.05</f>
        <v>57750</v>
      </c>
      <c r="K17" s="4">
        <f t="shared" si="2"/>
        <v>60637.5</v>
      </c>
    </row>
    <row r="18" spans="3:11" s="1" customFormat="1" ht="12.75">
      <c r="C18" s="1" t="s">
        <v>268</v>
      </c>
      <c r="D18" s="4">
        <v>1</v>
      </c>
      <c r="E18" s="4">
        <v>52000</v>
      </c>
      <c r="F18" s="11">
        <v>1999</v>
      </c>
      <c r="G18" s="4">
        <f>Annual_Salary/12*6</f>
        <v>26000</v>
      </c>
      <c r="H18" s="4">
        <f>Annual_Salary*1.05</f>
        <v>54600</v>
      </c>
      <c r="I18" s="4">
        <f>Annual_Salary*1.05</f>
        <v>54600</v>
      </c>
      <c r="J18" s="4">
        <f t="shared" si="2"/>
        <v>57330</v>
      </c>
      <c r="K18" s="4">
        <f t="shared" si="2"/>
        <v>60196.5</v>
      </c>
    </row>
    <row r="19" spans="3:11" s="1" customFormat="1" ht="12.75">
      <c r="C19" s="1" t="s">
        <v>78</v>
      </c>
      <c r="D19" s="4">
        <v>1</v>
      </c>
      <c r="E19" s="4">
        <v>30000</v>
      </c>
      <c r="F19" s="11">
        <v>1999</v>
      </c>
      <c r="G19" s="4">
        <f>Annual_Salary/12*6</f>
        <v>15000</v>
      </c>
      <c r="H19" s="4">
        <f>Annual_Salary</f>
        <v>30000</v>
      </c>
      <c r="I19" s="4">
        <f>Annual_Salary*1.05</f>
        <v>31500</v>
      </c>
      <c r="J19" s="4">
        <f t="shared" si="2"/>
        <v>33075</v>
      </c>
      <c r="K19" s="4">
        <f t="shared" si="2"/>
        <v>34728.75</v>
      </c>
    </row>
    <row r="20" spans="3:11" s="1" customFormat="1" ht="12.75">
      <c r="C20" s="1" t="s">
        <v>78</v>
      </c>
      <c r="D20" s="4">
        <v>1</v>
      </c>
      <c r="E20" s="4">
        <v>30000</v>
      </c>
      <c r="F20" s="11">
        <v>2001</v>
      </c>
      <c r="G20" s="4"/>
      <c r="H20" s="4"/>
      <c r="I20" s="4">
        <f>Annual_Salary</f>
        <v>30000</v>
      </c>
      <c r="J20" s="4">
        <f t="shared" si="2"/>
        <v>31500</v>
      </c>
      <c r="K20" s="4">
        <f t="shared" si="2"/>
        <v>33075</v>
      </c>
    </row>
    <row r="21" spans="3:11" s="1" customFormat="1" ht="12.75">
      <c r="C21" s="1" t="s">
        <v>78</v>
      </c>
      <c r="D21" s="4">
        <v>1</v>
      </c>
      <c r="E21" s="4">
        <v>30000</v>
      </c>
      <c r="F21" s="11">
        <v>2002</v>
      </c>
      <c r="G21" s="4"/>
      <c r="H21" s="4"/>
      <c r="I21" s="4"/>
      <c r="J21" s="12">
        <f>Annual_Salary</f>
        <v>30000</v>
      </c>
      <c r="K21" s="4">
        <f>J21*1.05</f>
        <v>31500</v>
      </c>
    </row>
    <row r="22" spans="3:11" s="1" customFormat="1" ht="12.75">
      <c r="C22" s="1" t="s">
        <v>78</v>
      </c>
      <c r="D22" s="4">
        <v>1</v>
      </c>
      <c r="E22" s="4">
        <v>30000</v>
      </c>
      <c r="F22" s="11">
        <v>2003</v>
      </c>
      <c r="G22" s="4"/>
      <c r="H22" s="4"/>
      <c r="I22" s="4"/>
      <c r="J22" s="4"/>
      <c r="K22" s="12">
        <f>Annual_Salary</f>
        <v>30000</v>
      </c>
    </row>
    <row r="23" spans="3:11" s="1" customFormat="1" ht="12.75">
      <c r="C23" s="1" t="s">
        <v>78</v>
      </c>
      <c r="D23" s="4">
        <v>1</v>
      </c>
      <c r="E23" s="4">
        <v>32000</v>
      </c>
      <c r="F23" s="11">
        <v>2003</v>
      </c>
      <c r="G23" s="5"/>
      <c r="H23" s="5"/>
      <c r="I23" s="5"/>
      <c r="J23" s="5"/>
      <c r="K23" s="5">
        <f>Annual_Salary</f>
        <v>32000</v>
      </c>
    </row>
    <row r="24" spans="2:11" s="1" customFormat="1" ht="12.75">
      <c r="B24" s="1" t="s">
        <v>39</v>
      </c>
      <c r="D24" s="4"/>
      <c r="E24" s="4"/>
      <c r="F24" s="11"/>
      <c r="G24" s="4">
        <f>SUM(G6:G23)</f>
        <v>188500</v>
      </c>
      <c r="H24" s="4">
        <f>SUM(H6:H23)</f>
        <v>633100</v>
      </c>
      <c r="I24" s="4">
        <f>SUM(I6:I23)</f>
        <v>1012100</v>
      </c>
      <c r="J24" s="4">
        <f>SUM(J6:J23)</f>
        <v>1256705</v>
      </c>
      <c r="K24" s="4">
        <f>SUM(K6:K23)</f>
        <v>1381540.25</v>
      </c>
    </row>
    <row r="25" spans="3:11" s="1" customFormat="1" ht="12.75">
      <c r="C25" s="1" t="s">
        <v>40</v>
      </c>
      <c r="D25" s="4"/>
      <c r="E25" s="4"/>
      <c r="F25" s="11"/>
      <c r="G25" s="5"/>
      <c r="H25" s="5"/>
      <c r="I25" s="5">
        <v>100000</v>
      </c>
      <c r="J25" s="5">
        <v>200000</v>
      </c>
      <c r="K25" s="5">
        <v>250000</v>
      </c>
    </row>
    <row r="26" spans="2:11" s="1" customFormat="1" ht="12.75">
      <c r="B26" s="1" t="s">
        <v>41</v>
      </c>
      <c r="D26" s="4"/>
      <c r="E26" s="4"/>
      <c r="F26" s="11"/>
      <c r="G26" s="4">
        <f>G24+G25</f>
        <v>188500</v>
      </c>
      <c r="H26" s="4">
        <f>H24+H25</f>
        <v>633100</v>
      </c>
      <c r="I26" s="4">
        <f>I24+I25</f>
        <v>1112100</v>
      </c>
      <c r="J26" s="4">
        <f>J24+J25</f>
        <v>1456705</v>
      </c>
      <c r="K26" s="4">
        <f>K24+K25</f>
        <v>1631540.25</v>
      </c>
    </row>
    <row r="27" spans="2:11" s="1" customFormat="1" ht="12.75">
      <c r="B27" s="1" t="s">
        <v>90</v>
      </c>
      <c r="D27" s="4"/>
      <c r="E27" s="4"/>
      <c r="F27" s="11"/>
      <c r="G27" s="4">
        <f>COUNTIF(G6:G23,"&gt;0")</f>
        <v>5</v>
      </c>
      <c r="H27" s="4">
        <f>COUNTIF(H6:H23,"&gt;0")</f>
        <v>8</v>
      </c>
      <c r="I27" s="4">
        <f>COUNTIF(I6:I23,"&gt;0")</f>
        <v>12</v>
      </c>
      <c r="J27" s="4">
        <f>COUNTIF(J6:J23,"&gt;0")</f>
        <v>16</v>
      </c>
      <c r="K27" s="4">
        <f>COUNTIF(K6:K23,"&gt;0")</f>
        <v>18</v>
      </c>
    </row>
    <row r="28" spans="4:11" s="1" customFormat="1" ht="12.75">
      <c r="D28" s="4"/>
      <c r="E28" s="4"/>
      <c r="F28" s="11"/>
      <c r="G28" s="4"/>
      <c r="H28" s="4"/>
      <c r="I28" s="4"/>
      <c r="J28" s="4"/>
      <c r="K28" s="4"/>
    </row>
    <row r="29" spans="1:11" s="1" customFormat="1" ht="12.75">
      <c r="A29" s="2" t="s">
        <v>42</v>
      </c>
      <c r="B29" s="2"/>
      <c r="D29" s="4"/>
      <c r="E29" s="4"/>
      <c r="F29" s="11"/>
      <c r="G29" s="4"/>
      <c r="H29" s="4"/>
      <c r="I29" s="4"/>
      <c r="J29" s="4"/>
      <c r="K29" s="4"/>
    </row>
    <row r="30" spans="1:11" s="1" customFormat="1" ht="12.75">
      <c r="A30" s="2"/>
      <c r="B30" s="2"/>
      <c r="C30" s="1" t="s">
        <v>372</v>
      </c>
      <c r="D30" s="4">
        <v>1</v>
      </c>
      <c r="E30" s="4">
        <v>125000</v>
      </c>
      <c r="F30" s="11">
        <v>1999</v>
      </c>
      <c r="G30" s="4">
        <f>Annual_Salary*0.5</f>
        <v>62500</v>
      </c>
      <c r="H30" s="4">
        <f>Annual_Salary</f>
        <v>125000</v>
      </c>
      <c r="I30" s="4">
        <f aca="true" t="shared" si="3" ref="I30:K32">H30*1.05</f>
        <v>131250</v>
      </c>
      <c r="J30" s="4">
        <f t="shared" si="3"/>
        <v>137812.5</v>
      </c>
      <c r="K30" s="4">
        <f t="shared" si="3"/>
        <v>144703.125</v>
      </c>
    </row>
    <row r="31" spans="1:11" s="1" customFormat="1" ht="12.75">
      <c r="A31" s="2"/>
      <c r="B31" s="2"/>
      <c r="C31" s="1" t="s">
        <v>324</v>
      </c>
      <c r="D31" s="4">
        <v>1</v>
      </c>
      <c r="E31" s="4">
        <v>60000</v>
      </c>
      <c r="F31" s="11">
        <v>1999</v>
      </c>
      <c r="G31" s="4">
        <f>Annual_Salary*0.5</f>
        <v>30000</v>
      </c>
      <c r="H31" s="4">
        <f>Annual_Salary*1.05</f>
        <v>63000</v>
      </c>
      <c r="I31" s="4">
        <f>H31*1.15</f>
        <v>72450</v>
      </c>
      <c r="J31" s="4">
        <f>I31*1.12</f>
        <v>81144.00000000001</v>
      </c>
      <c r="K31" s="4">
        <f t="shared" si="3"/>
        <v>85201.20000000001</v>
      </c>
    </row>
    <row r="32" spans="3:11" s="1" customFormat="1" ht="12.75">
      <c r="C32" s="1" t="s">
        <v>62</v>
      </c>
      <c r="D32" s="4">
        <v>1</v>
      </c>
      <c r="E32" s="4">
        <v>95000</v>
      </c>
      <c r="F32" s="11">
        <v>1999</v>
      </c>
      <c r="G32" s="4">
        <f>Annual_Salary/12*4</f>
        <v>31666.666666666668</v>
      </c>
      <c r="H32" s="4">
        <f>Annual_Salary</f>
        <v>95000</v>
      </c>
      <c r="I32" s="4">
        <f t="shared" si="3"/>
        <v>99750</v>
      </c>
      <c r="J32" s="4">
        <f t="shared" si="3"/>
        <v>104737.5</v>
      </c>
      <c r="K32" s="4">
        <f t="shared" si="3"/>
        <v>109974.375</v>
      </c>
    </row>
    <row r="33" spans="3:11" s="1" customFormat="1" ht="12.75">
      <c r="C33" s="1" t="s">
        <v>62</v>
      </c>
      <c r="D33" s="4">
        <v>1</v>
      </c>
      <c r="E33" s="4">
        <v>70000</v>
      </c>
      <c r="F33" s="11">
        <v>2001</v>
      </c>
      <c r="G33" s="4"/>
      <c r="H33" s="4"/>
      <c r="I33" s="4">
        <f>Annual_Salary</f>
        <v>70000</v>
      </c>
      <c r="J33" s="4">
        <f>I33*1.05</f>
        <v>73500</v>
      </c>
      <c r="K33" s="4">
        <f>J33*1.05</f>
        <v>77175</v>
      </c>
    </row>
    <row r="34" spans="4:11" s="1" customFormat="1" ht="12.75">
      <c r="D34" s="4"/>
      <c r="E34" s="4"/>
      <c r="F34" s="11"/>
      <c r="G34" s="4"/>
      <c r="H34" s="4"/>
      <c r="I34" s="4"/>
      <c r="J34" s="4"/>
      <c r="K34" s="4"/>
    </row>
    <row r="35" spans="2:11" s="1" customFormat="1" ht="12.75">
      <c r="B35" s="1" t="s">
        <v>327</v>
      </c>
      <c r="D35" s="4"/>
      <c r="E35" s="4"/>
      <c r="F35" s="11"/>
      <c r="G35" s="4"/>
      <c r="H35" s="4"/>
      <c r="I35" s="4"/>
      <c r="J35" s="4"/>
      <c r="K35" s="4"/>
    </row>
    <row r="36" spans="3:11" s="1" customFormat="1" ht="12.75">
      <c r="C36" s="1" t="s">
        <v>44</v>
      </c>
      <c r="D36" s="4">
        <v>1</v>
      </c>
      <c r="E36" s="4">
        <v>85000</v>
      </c>
      <c r="F36" s="11">
        <v>2000</v>
      </c>
      <c r="G36" s="4"/>
      <c r="H36" s="4">
        <f>Annual_Salary</f>
        <v>85000</v>
      </c>
      <c r="I36" s="4">
        <f>H36*1.05</f>
        <v>89250</v>
      </c>
      <c r="J36" s="4">
        <f>I36*1.05</f>
        <v>93712.5</v>
      </c>
      <c r="K36" s="4">
        <f>J36*1.05</f>
        <v>98398.125</v>
      </c>
    </row>
    <row r="37" spans="3:11" s="1" customFormat="1" ht="12.75">
      <c r="C37" s="1" t="s">
        <v>88</v>
      </c>
      <c r="D37" s="4">
        <v>1</v>
      </c>
      <c r="E37" s="4">
        <v>85000</v>
      </c>
      <c r="F37" s="11">
        <v>1999</v>
      </c>
      <c r="G37" s="4">
        <f>Annual_Salary/12*4</f>
        <v>28333.333333333332</v>
      </c>
      <c r="H37" s="4">
        <f>Annual_Salary</f>
        <v>85000</v>
      </c>
      <c r="I37" s="4">
        <f aca="true" t="shared" si="4" ref="I37:K49">H37*1.05</f>
        <v>89250</v>
      </c>
      <c r="J37" s="4">
        <f t="shared" si="4"/>
        <v>93712.5</v>
      </c>
      <c r="K37" s="4">
        <f t="shared" si="4"/>
        <v>98398.125</v>
      </c>
    </row>
    <row r="38" spans="3:16" s="1" customFormat="1" ht="12.75">
      <c r="C38" s="1" t="s">
        <v>88</v>
      </c>
      <c r="D38" s="4">
        <v>1</v>
      </c>
      <c r="E38" s="4">
        <v>85000</v>
      </c>
      <c r="F38" s="11">
        <v>2001</v>
      </c>
      <c r="G38" s="4"/>
      <c r="H38" s="4"/>
      <c r="I38" s="4">
        <f>Annual_Salary</f>
        <v>85000</v>
      </c>
      <c r="J38" s="4">
        <f t="shared" si="4"/>
        <v>89250</v>
      </c>
      <c r="K38" s="4">
        <f t="shared" si="4"/>
        <v>93712.5</v>
      </c>
      <c r="P38" s="70"/>
    </row>
    <row r="39" spans="3:11" s="1" customFormat="1" ht="12.75">
      <c r="C39" s="1" t="s">
        <v>43</v>
      </c>
      <c r="D39" s="4">
        <v>1</v>
      </c>
      <c r="E39" s="4">
        <v>52500</v>
      </c>
      <c r="F39" s="11">
        <v>1999</v>
      </c>
      <c r="G39" s="4">
        <f>Annual_Salary*0.5</f>
        <v>26250</v>
      </c>
      <c r="H39" s="4">
        <f>Annual_Salary*1.05</f>
        <v>55125</v>
      </c>
      <c r="I39" s="4">
        <f t="shared" si="4"/>
        <v>57881.25</v>
      </c>
      <c r="J39" s="4">
        <f t="shared" si="4"/>
        <v>60775.3125</v>
      </c>
      <c r="K39" s="4">
        <f t="shared" si="4"/>
        <v>63814.078125</v>
      </c>
    </row>
    <row r="40" spans="3:11" s="1" customFormat="1" ht="12.75">
      <c r="C40" s="1" t="s">
        <v>43</v>
      </c>
      <c r="D40" s="4">
        <v>1</v>
      </c>
      <c r="E40" s="4">
        <v>75000</v>
      </c>
      <c r="F40" s="11">
        <v>1999</v>
      </c>
      <c r="G40" s="4">
        <f>Annual_Salary*0.5</f>
        <v>37500</v>
      </c>
      <c r="H40" s="4">
        <f>Annual_Salary</f>
        <v>75000</v>
      </c>
      <c r="I40" s="4">
        <f t="shared" si="4"/>
        <v>78750</v>
      </c>
      <c r="J40" s="4">
        <f t="shared" si="4"/>
        <v>82687.5</v>
      </c>
      <c r="K40" s="4">
        <f t="shared" si="4"/>
        <v>86821.875</v>
      </c>
    </row>
    <row r="41" spans="3:11" s="1" customFormat="1" ht="12.75">
      <c r="C41" s="1" t="s">
        <v>43</v>
      </c>
      <c r="D41" s="4">
        <v>1</v>
      </c>
      <c r="E41" s="4">
        <v>75000</v>
      </c>
      <c r="F41" s="11">
        <v>1999</v>
      </c>
      <c r="G41" s="4">
        <f>Annual_Salary*0.5</f>
        <v>37500</v>
      </c>
      <c r="H41" s="4">
        <f>Annual_Salary</f>
        <v>75000</v>
      </c>
      <c r="I41" s="4">
        <f t="shared" si="4"/>
        <v>78750</v>
      </c>
      <c r="J41" s="4">
        <f t="shared" si="4"/>
        <v>82687.5</v>
      </c>
      <c r="K41" s="4">
        <f t="shared" si="4"/>
        <v>86821.875</v>
      </c>
    </row>
    <row r="42" spans="3:11" s="1" customFormat="1" ht="12.75">
      <c r="C42" s="1" t="s">
        <v>43</v>
      </c>
      <c r="D42" s="4">
        <v>1</v>
      </c>
      <c r="E42" s="4">
        <v>80000</v>
      </c>
      <c r="F42" s="11">
        <v>2000</v>
      </c>
      <c r="G42" s="4"/>
      <c r="H42" s="4">
        <f>Annual_Salary</f>
        <v>80000</v>
      </c>
      <c r="I42" s="4">
        <f t="shared" si="4"/>
        <v>84000</v>
      </c>
      <c r="J42" s="4">
        <f t="shared" si="4"/>
        <v>88200</v>
      </c>
      <c r="K42" s="4">
        <f t="shared" si="4"/>
        <v>92610</v>
      </c>
    </row>
    <row r="43" spans="3:11" s="1" customFormat="1" ht="12.75">
      <c r="C43" s="1" t="s">
        <v>43</v>
      </c>
      <c r="D43" s="4">
        <v>1</v>
      </c>
      <c r="E43" s="4">
        <v>80000</v>
      </c>
      <c r="F43" s="11">
        <v>2001</v>
      </c>
      <c r="G43" s="4"/>
      <c r="H43" s="4"/>
      <c r="I43" s="4">
        <f>Annual_Salary</f>
        <v>80000</v>
      </c>
      <c r="J43" s="4">
        <f>I43*1.05</f>
        <v>84000</v>
      </c>
      <c r="K43" s="4">
        <f>J43*1.05</f>
        <v>88200</v>
      </c>
    </row>
    <row r="44" spans="3:11" s="1" customFormat="1" ht="12.75">
      <c r="C44" s="1" t="s">
        <v>43</v>
      </c>
      <c r="D44" s="4">
        <v>1</v>
      </c>
      <c r="E44" s="4">
        <v>80000</v>
      </c>
      <c r="F44" s="11">
        <v>2001</v>
      </c>
      <c r="G44" s="4"/>
      <c r="H44" s="4"/>
      <c r="I44" s="4">
        <f>Annual_Salary</f>
        <v>80000</v>
      </c>
      <c r="J44" s="4">
        <f>I44*1.05</f>
        <v>84000</v>
      </c>
      <c r="K44" s="4">
        <f>J44*1.05</f>
        <v>88200</v>
      </c>
    </row>
    <row r="45" spans="3:11" s="1" customFormat="1" ht="12.75">
      <c r="C45" s="1" t="s">
        <v>43</v>
      </c>
      <c r="D45" s="4">
        <v>1</v>
      </c>
      <c r="E45" s="4">
        <v>85000</v>
      </c>
      <c r="F45" s="11">
        <v>2002</v>
      </c>
      <c r="G45" s="4"/>
      <c r="H45" s="4"/>
      <c r="I45" s="4"/>
      <c r="J45" s="4">
        <f>Annual_Salary</f>
        <v>85000</v>
      </c>
      <c r="K45" s="4">
        <f>J45*1.05</f>
        <v>89250</v>
      </c>
    </row>
    <row r="46" spans="3:11" s="1" customFormat="1" ht="12.75">
      <c r="C46" s="1" t="s">
        <v>43</v>
      </c>
      <c r="D46" s="4">
        <v>1</v>
      </c>
      <c r="E46" s="4">
        <v>85000</v>
      </c>
      <c r="F46" s="11">
        <v>2002</v>
      </c>
      <c r="G46" s="4"/>
      <c r="H46" s="4"/>
      <c r="I46" s="4"/>
      <c r="J46" s="4">
        <f>Annual_Salary</f>
        <v>85000</v>
      </c>
      <c r="K46" s="4">
        <f>J46*1.05</f>
        <v>89250</v>
      </c>
    </row>
    <row r="47" spans="3:11" s="1" customFormat="1" ht="12.75">
      <c r="C47" s="1" t="s">
        <v>45</v>
      </c>
      <c r="D47" s="4">
        <v>1</v>
      </c>
      <c r="E47" s="4">
        <v>90000</v>
      </c>
      <c r="F47" s="11">
        <v>2000</v>
      </c>
      <c r="G47" s="4">
        <f>Annual_Salary/12*5</f>
        <v>37500</v>
      </c>
      <c r="H47" s="4">
        <f>Annual_Salary</f>
        <v>90000</v>
      </c>
      <c r="I47" s="4">
        <f t="shared" si="4"/>
        <v>94500</v>
      </c>
      <c r="J47" s="4">
        <f t="shared" si="4"/>
        <v>99225</v>
      </c>
      <c r="K47" s="4">
        <f t="shared" si="4"/>
        <v>104186.25</v>
      </c>
    </row>
    <row r="48" spans="3:11" s="1" customFormat="1" ht="12.75">
      <c r="C48" s="1" t="s">
        <v>45</v>
      </c>
      <c r="D48" s="4">
        <v>1</v>
      </c>
      <c r="E48" s="4">
        <v>90000</v>
      </c>
      <c r="F48" s="11">
        <v>2000</v>
      </c>
      <c r="G48" s="4"/>
      <c r="H48" s="4">
        <f>Annual_Salary</f>
        <v>90000</v>
      </c>
      <c r="I48" s="4">
        <f t="shared" si="4"/>
        <v>94500</v>
      </c>
      <c r="J48" s="4">
        <f t="shared" si="4"/>
        <v>99225</v>
      </c>
      <c r="K48" s="4">
        <f t="shared" si="4"/>
        <v>104186.25</v>
      </c>
    </row>
    <row r="49" spans="3:11" s="1" customFormat="1" ht="12.75">
      <c r="C49" s="1" t="s">
        <v>46</v>
      </c>
      <c r="D49" s="4">
        <v>1</v>
      </c>
      <c r="E49" s="12">
        <v>75000</v>
      </c>
      <c r="F49" s="13">
        <v>2000</v>
      </c>
      <c r="G49" s="5"/>
      <c r="H49" s="5">
        <f>Annual_Salary</f>
        <v>75000</v>
      </c>
      <c r="I49" s="5">
        <f t="shared" si="4"/>
        <v>78750</v>
      </c>
      <c r="J49" s="5">
        <f t="shared" si="4"/>
        <v>82687.5</v>
      </c>
      <c r="K49" s="5">
        <f t="shared" si="4"/>
        <v>86821.875</v>
      </c>
    </row>
    <row r="50" spans="2:11" s="1" customFormat="1" ht="12.75">
      <c r="B50" s="1" t="s">
        <v>82</v>
      </c>
      <c r="D50" s="4"/>
      <c r="E50" s="4"/>
      <c r="F50" s="11"/>
      <c r="G50" s="4">
        <f>SUM(G30:G33)+SUM(G36:G49)</f>
        <v>291250</v>
      </c>
      <c r="H50" s="4">
        <f>SUM(H30:H33)+SUM(H36:H49)</f>
        <v>993125</v>
      </c>
      <c r="I50" s="4">
        <f>SUM(I30:I33)+SUM(I36:I49)</f>
        <v>1364081.25</v>
      </c>
      <c r="J50" s="4">
        <f>SUM(J30:J33)+SUM(J36:J49)</f>
        <v>1607356.8125</v>
      </c>
      <c r="K50" s="4">
        <f>SUM(K30:K33)+SUM(K36:K49)</f>
        <v>1687724.653125</v>
      </c>
    </row>
    <row r="51" spans="4:11" s="1" customFormat="1" ht="12.75">
      <c r="D51" s="4"/>
      <c r="E51" s="4"/>
      <c r="F51" s="11"/>
      <c r="G51" s="4"/>
      <c r="H51" s="4"/>
      <c r="I51" s="4"/>
      <c r="J51" s="4"/>
      <c r="K51" s="4"/>
    </row>
    <row r="52" spans="2:11" s="1" customFormat="1" ht="12.75">
      <c r="B52" s="1" t="s">
        <v>47</v>
      </c>
      <c r="D52" s="4"/>
      <c r="E52" s="4"/>
      <c r="F52" s="11"/>
      <c r="G52" s="4"/>
      <c r="H52" s="4"/>
      <c r="I52" s="4"/>
      <c r="J52" s="4"/>
      <c r="K52" s="4"/>
    </row>
    <row r="53" spans="3:11" s="1" customFormat="1" ht="12.75">
      <c r="C53" s="1" t="s">
        <v>48</v>
      </c>
      <c r="D53" s="4">
        <v>1</v>
      </c>
      <c r="E53" s="4">
        <v>60000</v>
      </c>
      <c r="F53" s="11">
        <v>2000</v>
      </c>
      <c r="G53" s="4"/>
      <c r="H53" s="4">
        <f>Annual_Salary</f>
        <v>60000</v>
      </c>
      <c r="I53" s="4">
        <f>H53*1.05</f>
        <v>63000</v>
      </c>
      <c r="J53" s="4">
        <f>I53*1.05</f>
        <v>66150</v>
      </c>
      <c r="K53" s="4">
        <f>J53*1.05</f>
        <v>69457.5</v>
      </c>
    </row>
    <row r="54" spans="3:11" s="1" customFormat="1" ht="12.75">
      <c r="C54" s="1" t="s">
        <v>326</v>
      </c>
      <c r="D54" s="4">
        <v>1</v>
      </c>
      <c r="E54" s="4">
        <v>45000</v>
      </c>
      <c r="F54" s="11">
        <v>1999</v>
      </c>
      <c r="G54" s="4">
        <f>Annual_Salary/12*2</f>
        <v>7500</v>
      </c>
      <c r="H54" s="4">
        <f>Annual_Salary</f>
        <v>45000</v>
      </c>
      <c r="I54" s="4">
        <f aca="true" t="shared" si="5" ref="I54:K61">H54*1.05</f>
        <v>47250</v>
      </c>
      <c r="J54" s="4">
        <f t="shared" si="5"/>
        <v>49612.5</v>
      </c>
      <c r="K54" s="4">
        <f t="shared" si="5"/>
        <v>52093.125</v>
      </c>
    </row>
    <row r="55" spans="3:11" s="1" customFormat="1" ht="12.75">
      <c r="C55" s="1" t="s">
        <v>326</v>
      </c>
      <c r="D55" s="4">
        <v>1</v>
      </c>
      <c r="E55" s="4">
        <v>50000</v>
      </c>
      <c r="F55" s="11">
        <v>2003</v>
      </c>
      <c r="G55" s="4"/>
      <c r="H55" s="4"/>
      <c r="I55" s="4"/>
      <c r="J55" s="4"/>
      <c r="K55" s="4">
        <f>Annual_Salary</f>
        <v>50000</v>
      </c>
    </row>
    <row r="56" spans="3:11" s="1" customFormat="1" ht="12.75">
      <c r="C56" s="1" t="s">
        <v>49</v>
      </c>
      <c r="D56" s="4">
        <v>1</v>
      </c>
      <c r="E56" s="4">
        <v>60000</v>
      </c>
      <c r="F56" s="11">
        <v>1999</v>
      </c>
      <c r="G56" s="4">
        <f>Annual_Salary/12*4</f>
        <v>20000</v>
      </c>
      <c r="H56" s="4">
        <f>Annual_Salary</f>
        <v>60000</v>
      </c>
      <c r="I56" s="4">
        <f t="shared" si="5"/>
        <v>63000</v>
      </c>
      <c r="J56" s="4">
        <f t="shared" si="5"/>
        <v>66150</v>
      </c>
      <c r="K56" s="4">
        <f t="shared" si="5"/>
        <v>69457.5</v>
      </c>
    </row>
    <row r="57" spans="3:11" s="1" customFormat="1" ht="12.75">
      <c r="C57" s="1" t="s">
        <v>50</v>
      </c>
      <c r="D57" s="4">
        <v>1</v>
      </c>
      <c r="E57" s="4">
        <v>50000</v>
      </c>
      <c r="F57" s="11">
        <v>2000</v>
      </c>
      <c r="G57" s="4"/>
      <c r="H57" s="4">
        <f>Annual_Salary/12*10</f>
        <v>41666.66666666667</v>
      </c>
      <c r="I57" s="4">
        <f t="shared" si="5"/>
        <v>43750.00000000001</v>
      </c>
      <c r="J57" s="4">
        <f t="shared" si="5"/>
        <v>45937.50000000001</v>
      </c>
      <c r="K57" s="4">
        <f t="shared" si="5"/>
        <v>48234.37500000001</v>
      </c>
    </row>
    <row r="58" spans="3:11" s="1" customFormat="1" ht="12.75">
      <c r="C58" s="1" t="s">
        <v>50</v>
      </c>
      <c r="D58" s="4">
        <v>1</v>
      </c>
      <c r="E58" s="4">
        <v>45000</v>
      </c>
      <c r="F58" s="11">
        <v>2000</v>
      </c>
      <c r="G58" s="4"/>
      <c r="H58" s="4">
        <f>Annual_Salary</f>
        <v>45000</v>
      </c>
      <c r="I58" s="4">
        <f t="shared" si="5"/>
        <v>47250</v>
      </c>
      <c r="J58" s="4">
        <f t="shared" si="5"/>
        <v>49612.5</v>
      </c>
      <c r="K58" s="4">
        <f t="shared" si="5"/>
        <v>52093.125</v>
      </c>
    </row>
    <row r="59" spans="3:11" s="1" customFormat="1" ht="12.75">
      <c r="C59" s="1" t="s">
        <v>50</v>
      </c>
      <c r="D59" s="4">
        <v>1</v>
      </c>
      <c r="E59" s="4">
        <v>45000</v>
      </c>
      <c r="F59" s="11">
        <v>2002</v>
      </c>
      <c r="G59" s="4"/>
      <c r="H59" s="4"/>
      <c r="I59" s="4"/>
      <c r="J59" s="4">
        <f>Annual_Salary</f>
        <v>45000</v>
      </c>
      <c r="K59" s="4">
        <f>Annual_Salary*1.05</f>
        <v>47250</v>
      </c>
    </row>
    <row r="60" spans="3:11" s="1" customFormat="1" ht="12.75">
      <c r="C60" s="1" t="s">
        <v>207</v>
      </c>
      <c r="D60" s="4">
        <v>1</v>
      </c>
      <c r="E60" s="4">
        <v>45000</v>
      </c>
      <c r="F60" s="11">
        <v>1999</v>
      </c>
      <c r="G60" s="4">
        <f>Annual_Salary/12*4</f>
        <v>15000</v>
      </c>
      <c r="H60" s="4">
        <f>Annual_Salary</f>
        <v>45000</v>
      </c>
      <c r="I60" s="4">
        <f t="shared" si="5"/>
        <v>47250</v>
      </c>
      <c r="J60" s="4">
        <f t="shared" si="5"/>
        <v>49612.5</v>
      </c>
      <c r="K60" s="4">
        <f t="shared" si="5"/>
        <v>52093.125</v>
      </c>
    </row>
    <row r="61" spans="3:11" s="1" customFormat="1" ht="12.75">
      <c r="C61" s="1" t="s">
        <v>319</v>
      </c>
      <c r="D61" s="4">
        <v>1</v>
      </c>
      <c r="E61" s="4">
        <v>40000</v>
      </c>
      <c r="F61" s="11">
        <v>2000</v>
      </c>
      <c r="G61" s="5"/>
      <c r="H61" s="5">
        <f>Annual_Salary</f>
        <v>40000</v>
      </c>
      <c r="I61" s="5">
        <f t="shared" si="5"/>
        <v>42000</v>
      </c>
      <c r="J61" s="5">
        <f t="shared" si="5"/>
        <v>44100</v>
      </c>
      <c r="K61" s="5">
        <f t="shared" si="5"/>
        <v>46305</v>
      </c>
    </row>
    <row r="62" spans="2:11" s="1" customFormat="1" ht="12.75">
      <c r="B62" s="1" t="s">
        <v>51</v>
      </c>
      <c r="D62" s="4"/>
      <c r="E62" s="4"/>
      <c r="F62" s="11"/>
      <c r="G62" s="4">
        <f>SUM(G53:G61)</f>
        <v>42500</v>
      </c>
      <c r="H62" s="4">
        <f>SUM(H53:H61)</f>
        <v>336666.6666666667</v>
      </c>
      <c r="I62" s="4">
        <f>SUM(I53:I61)</f>
        <v>353500</v>
      </c>
      <c r="J62" s="4">
        <f>SUM(J53:J61)</f>
        <v>416175</v>
      </c>
      <c r="K62" s="4">
        <f>SUM(K53:K61)</f>
        <v>486983.75</v>
      </c>
    </row>
    <row r="63" spans="4:11" s="1" customFormat="1" ht="12.75">
      <c r="D63" s="4"/>
      <c r="E63" s="4"/>
      <c r="F63" s="11"/>
      <c r="G63" s="5"/>
      <c r="H63" s="5"/>
      <c r="I63" s="5"/>
      <c r="J63" s="5"/>
      <c r="K63" s="5"/>
    </row>
    <row r="64" spans="2:11" s="1" customFormat="1" ht="12.75">
      <c r="B64" s="1" t="s">
        <v>52</v>
      </c>
      <c r="D64" s="4"/>
      <c r="E64" s="4"/>
      <c r="F64" s="11"/>
      <c r="G64" s="4">
        <f>G50+G62</f>
        <v>333750</v>
      </c>
      <c r="H64" s="4">
        <f>H50+H62</f>
        <v>1329791.6666666667</v>
      </c>
      <c r="I64" s="4">
        <f>I50+I62</f>
        <v>1717581.25</v>
      </c>
      <c r="J64" s="4">
        <f>J50+J62</f>
        <v>2023531.8125</v>
      </c>
      <c r="K64" s="4">
        <f>K50+K62</f>
        <v>2174708.403125</v>
      </c>
    </row>
    <row r="65" spans="3:11" s="1" customFormat="1" ht="12.75">
      <c r="C65" s="1" t="s">
        <v>40</v>
      </c>
      <c r="D65" s="4"/>
      <c r="E65" s="4"/>
      <c r="F65" s="11"/>
      <c r="G65" s="5"/>
      <c r="H65" s="5"/>
      <c r="I65" s="5">
        <v>125000</v>
      </c>
      <c r="J65" s="5">
        <v>150000</v>
      </c>
      <c r="K65" s="5">
        <v>200000</v>
      </c>
    </row>
    <row r="66" spans="2:11" s="1" customFormat="1" ht="12.75">
      <c r="B66" s="1" t="s">
        <v>53</v>
      </c>
      <c r="D66" s="4"/>
      <c r="E66" s="4"/>
      <c r="F66" s="11"/>
      <c r="G66" s="4">
        <f>G64+G65</f>
        <v>333750</v>
      </c>
      <c r="H66" s="4">
        <f>H64+H65</f>
        <v>1329791.6666666667</v>
      </c>
      <c r="I66" s="4">
        <f>I64+I65</f>
        <v>1842581.25</v>
      </c>
      <c r="J66" s="4">
        <f>J64+J65</f>
        <v>2173531.8125</v>
      </c>
      <c r="K66" s="4">
        <f>K64+K65</f>
        <v>2374708.403125</v>
      </c>
    </row>
    <row r="67" spans="2:11" s="1" customFormat="1" ht="12.75">
      <c r="B67" s="1" t="s">
        <v>91</v>
      </c>
      <c r="D67" s="4"/>
      <c r="E67" s="4"/>
      <c r="F67" s="11"/>
      <c r="G67" s="4">
        <f>COUNTIF(G30:G33,"&gt;0")+COUNTIF(G36:G49,"&gt;0")+COUNTIF(G53:G61,"&gt;0")</f>
        <v>11</v>
      </c>
      <c r="H67" s="4">
        <f>COUNTIF(H30:H33,"&gt;0")+COUNTIF(H36:H49,"&gt;0")+COUNTIF(H53:H61,"&gt;0")</f>
        <v>19</v>
      </c>
      <c r="I67" s="4">
        <f>COUNTIF(I30:I33,"&gt;0")+COUNTIF(I36:I49,"&gt;0")+COUNTIF(I53:I61,"&gt;0")</f>
        <v>23</v>
      </c>
      <c r="J67" s="4">
        <f>COUNTIF(J30:J33,"&gt;0")+COUNTIF(J36:J49,"&gt;0")+COUNTIF(J53:J61,"&gt;0")</f>
        <v>26</v>
      </c>
      <c r="K67" s="4">
        <f>COUNTIF(K30:K33,"&gt;0")+COUNTIF(K36:K49,"&gt;0")+COUNTIF(K53:K61,"&gt;0")</f>
        <v>27</v>
      </c>
    </row>
    <row r="68" spans="4:11" s="1" customFormat="1" ht="12.75">
      <c r="D68" s="4"/>
      <c r="E68" s="4"/>
      <c r="F68" s="11"/>
      <c r="G68" s="4"/>
      <c r="H68" s="4"/>
      <c r="I68" s="4"/>
      <c r="J68" s="4"/>
      <c r="K68" s="4"/>
    </row>
    <row r="69" spans="1:11" s="1" customFormat="1" ht="12.75">
      <c r="A69" s="2" t="s">
        <v>75</v>
      </c>
      <c r="B69" s="2"/>
      <c r="D69" s="4"/>
      <c r="E69" s="4"/>
      <c r="F69" s="11"/>
      <c r="G69" s="4"/>
      <c r="H69" s="4"/>
      <c r="I69" s="4"/>
      <c r="J69" s="4"/>
      <c r="K69" s="4"/>
    </row>
    <row r="70" spans="3:11" s="1" customFormat="1" ht="12.75">
      <c r="C70" s="1" t="s">
        <v>54</v>
      </c>
      <c r="D70" s="4">
        <v>1</v>
      </c>
      <c r="E70" s="4">
        <v>150000</v>
      </c>
      <c r="F70" s="11">
        <v>1999</v>
      </c>
      <c r="G70" s="4">
        <f>No_of_Persons*((Annual_Salary/12)*4)</f>
        <v>50000</v>
      </c>
      <c r="H70" s="4">
        <f>Annual_Salary</f>
        <v>150000</v>
      </c>
      <c r="I70" s="4">
        <f>Annual_Salary*1.05</f>
        <v>157500</v>
      </c>
      <c r="J70" s="4">
        <f>I70*1.05</f>
        <v>165375</v>
      </c>
      <c r="K70" s="4">
        <f>J70*1.05</f>
        <v>173643.75</v>
      </c>
    </row>
    <row r="71" spans="3:11" s="1" customFormat="1" ht="12.75">
      <c r="C71" s="1" t="s">
        <v>349</v>
      </c>
      <c r="D71" s="4">
        <v>1</v>
      </c>
      <c r="E71" s="4">
        <v>80000</v>
      </c>
      <c r="F71" s="11">
        <v>1999</v>
      </c>
      <c r="G71" s="4">
        <f>No_of_Persons*Annual_Salary*0.5</f>
        <v>40000</v>
      </c>
      <c r="H71" s="4">
        <f>No_of_Persons*Annual_Salary</f>
        <v>80000</v>
      </c>
      <c r="I71" s="4">
        <f>Annual_Salary*1.05</f>
        <v>84000</v>
      </c>
      <c r="J71" s="4">
        <f>I71*1.05</f>
        <v>88200</v>
      </c>
      <c r="K71" s="4">
        <f>J71*1.05</f>
        <v>92610</v>
      </c>
    </row>
    <row r="72" spans="3:11" s="1" customFormat="1" ht="12.75">
      <c r="C72" s="1" t="s">
        <v>55</v>
      </c>
      <c r="D72" s="4">
        <v>1</v>
      </c>
      <c r="E72" s="4">
        <v>85000</v>
      </c>
      <c r="F72" s="11">
        <v>2002</v>
      </c>
      <c r="G72" s="4"/>
      <c r="H72" s="4"/>
      <c r="I72" s="4"/>
      <c r="J72" s="4">
        <f>Annual_Salary</f>
        <v>85000</v>
      </c>
      <c r="K72" s="4">
        <f>Annual_Salary</f>
        <v>85000</v>
      </c>
    </row>
    <row r="73" spans="3:11" s="1" customFormat="1" ht="12.75">
      <c r="C73" s="1" t="s">
        <v>55</v>
      </c>
      <c r="D73" s="4">
        <v>1</v>
      </c>
      <c r="E73" s="4">
        <v>85000</v>
      </c>
      <c r="F73" s="11">
        <v>2003</v>
      </c>
      <c r="G73" s="4"/>
      <c r="H73" s="4"/>
      <c r="I73" s="4"/>
      <c r="J73" s="4"/>
      <c r="K73" s="4">
        <f>Annual_Salary*No_of_Persons</f>
        <v>85000</v>
      </c>
    </row>
    <row r="74" spans="3:11" s="1" customFormat="1" ht="12.75">
      <c r="C74" s="1" t="s">
        <v>55</v>
      </c>
      <c r="D74" s="4"/>
      <c r="E74" s="4">
        <v>85000</v>
      </c>
      <c r="F74" s="11"/>
      <c r="G74" s="4"/>
      <c r="H74" s="4"/>
      <c r="I74" s="4"/>
      <c r="J74" s="4"/>
      <c r="K74" s="4"/>
    </row>
    <row r="75" spans="3:11" s="1" customFormat="1" ht="12.75">
      <c r="C75" s="1" t="s">
        <v>350</v>
      </c>
      <c r="D75" s="4">
        <v>1</v>
      </c>
      <c r="E75" s="4">
        <v>60000</v>
      </c>
      <c r="F75" s="11">
        <v>1999</v>
      </c>
      <c r="G75" s="4">
        <f>No_of_Persons*(E75/12*4)</f>
        <v>20000</v>
      </c>
      <c r="H75" s="4">
        <f aca="true" t="shared" si="6" ref="H75:I77">No_of_Persons*Annual_Salary</f>
        <v>60000</v>
      </c>
      <c r="I75" s="4">
        <f t="shared" si="6"/>
        <v>60000</v>
      </c>
      <c r="J75" s="4">
        <f>No_of_Persons*Annual_Salary*1.05</f>
        <v>63000</v>
      </c>
      <c r="K75" s="4">
        <f>No_of_Persons*Annual_Salary*1.05</f>
        <v>63000</v>
      </c>
    </row>
    <row r="76" spans="3:11" s="1" customFormat="1" ht="12.75">
      <c r="C76" s="1" t="s">
        <v>350</v>
      </c>
      <c r="D76" s="4">
        <v>1</v>
      </c>
      <c r="E76" s="4">
        <v>60000</v>
      </c>
      <c r="F76" s="11">
        <v>1999</v>
      </c>
      <c r="G76" s="4">
        <f>No_of_Persons*(E76/12*3)</f>
        <v>15000</v>
      </c>
      <c r="H76" s="4">
        <f t="shared" si="6"/>
        <v>60000</v>
      </c>
      <c r="I76" s="4">
        <f t="shared" si="6"/>
        <v>60000</v>
      </c>
      <c r="J76" s="4">
        <f>No_of_Persons*Annual_Salary*1.05</f>
        <v>63000</v>
      </c>
      <c r="K76" s="4">
        <f>No_of_Persons*Annual_Salary*1.05</f>
        <v>63000</v>
      </c>
    </row>
    <row r="77" spans="3:11" s="1" customFormat="1" ht="12.75">
      <c r="C77" s="1" t="s">
        <v>351</v>
      </c>
      <c r="D77" s="4">
        <v>1</v>
      </c>
      <c r="E77" s="4">
        <v>60000</v>
      </c>
      <c r="F77" s="11">
        <v>2000</v>
      </c>
      <c r="G77" s="4"/>
      <c r="H77" s="4">
        <f t="shared" si="6"/>
        <v>60000</v>
      </c>
      <c r="I77" s="4">
        <f t="shared" si="6"/>
        <v>60000</v>
      </c>
      <c r="J77" s="4">
        <f aca="true" t="shared" si="7" ref="J77:K80">No_of_Persons*Annual_Salary*1.05</f>
        <v>63000</v>
      </c>
      <c r="K77" s="4">
        <f t="shared" si="7"/>
        <v>63000</v>
      </c>
    </row>
    <row r="78" spans="3:11" s="1" customFormat="1" ht="12.75">
      <c r="C78" s="1" t="s">
        <v>352</v>
      </c>
      <c r="D78" s="4">
        <v>1</v>
      </c>
      <c r="E78" s="4">
        <v>60000</v>
      </c>
      <c r="F78" s="11">
        <v>2001</v>
      </c>
      <c r="G78" s="4"/>
      <c r="H78" s="4"/>
      <c r="I78" s="4">
        <f>No_of_Persons*Annual_Salary</f>
        <v>60000</v>
      </c>
      <c r="J78" s="4">
        <f t="shared" si="7"/>
        <v>63000</v>
      </c>
      <c r="K78" s="4">
        <f t="shared" si="7"/>
        <v>63000</v>
      </c>
    </row>
    <row r="79" spans="3:11" s="1" customFormat="1" ht="12.75">
      <c r="C79" s="1" t="s">
        <v>353</v>
      </c>
      <c r="D79" s="4">
        <v>1</v>
      </c>
      <c r="E79" s="4">
        <v>65000</v>
      </c>
      <c r="F79" s="11">
        <v>2002</v>
      </c>
      <c r="G79" s="4"/>
      <c r="H79" s="4"/>
      <c r="I79" s="4"/>
      <c r="J79" s="4">
        <f>No_of_Persons*Annual_Salary</f>
        <v>65000</v>
      </c>
      <c r="K79" s="4">
        <f t="shared" si="7"/>
        <v>68250</v>
      </c>
    </row>
    <row r="80" spans="3:11" s="1" customFormat="1" ht="12.75">
      <c r="C80" s="1" t="s">
        <v>353</v>
      </c>
      <c r="D80" s="4">
        <v>1</v>
      </c>
      <c r="E80" s="4">
        <v>65000</v>
      </c>
      <c r="F80" s="11">
        <v>2002</v>
      </c>
      <c r="G80" s="4"/>
      <c r="H80" s="4"/>
      <c r="I80" s="4"/>
      <c r="J80" s="4">
        <f>No_of_Persons*Annual_Salary</f>
        <v>65000</v>
      </c>
      <c r="K80" s="4">
        <f t="shared" si="7"/>
        <v>68250</v>
      </c>
    </row>
    <row r="81" spans="3:11" s="1" customFormat="1" ht="12.75">
      <c r="C81" s="1" t="s">
        <v>354</v>
      </c>
      <c r="D81" s="4">
        <v>1</v>
      </c>
      <c r="E81" s="4">
        <v>70000</v>
      </c>
      <c r="F81" s="11">
        <v>2003</v>
      </c>
      <c r="G81" s="4"/>
      <c r="H81" s="4"/>
      <c r="I81" s="4"/>
      <c r="J81" s="4"/>
      <c r="K81" s="4">
        <f>No_of_Persons*Annual_Salary</f>
        <v>70000</v>
      </c>
    </row>
    <row r="82" spans="3:11" s="1" customFormat="1" ht="12.75">
      <c r="C82" s="1" t="s">
        <v>354</v>
      </c>
      <c r="D82" s="4">
        <v>1</v>
      </c>
      <c r="E82" s="4">
        <v>70000</v>
      </c>
      <c r="F82" s="11">
        <v>2003</v>
      </c>
      <c r="G82" s="4"/>
      <c r="H82" s="4"/>
      <c r="I82" s="4"/>
      <c r="J82" s="4"/>
      <c r="K82" s="4">
        <f>No_of_Persons*Annual_Salary</f>
        <v>70000</v>
      </c>
    </row>
    <row r="83" spans="3:11" s="1" customFormat="1" ht="12.75">
      <c r="C83" s="1" t="s">
        <v>354</v>
      </c>
      <c r="D83" s="4">
        <v>1</v>
      </c>
      <c r="E83" s="4">
        <v>70000</v>
      </c>
      <c r="F83" s="11">
        <v>2003</v>
      </c>
      <c r="G83" s="5"/>
      <c r="H83" s="5"/>
      <c r="I83" s="5"/>
      <c r="J83" s="5"/>
      <c r="K83" s="5">
        <f>No_of_Persons*Annual_Salary</f>
        <v>70000</v>
      </c>
    </row>
    <row r="84" spans="2:11" s="1" customFormat="1" ht="12.75">
      <c r="B84" s="1" t="s">
        <v>56</v>
      </c>
      <c r="D84" s="4"/>
      <c r="E84" s="4"/>
      <c r="F84" s="11"/>
      <c r="G84" s="4">
        <f>SUM(G70:G83)</f>
        <v>125000</v>
      </c>
      <c r="H84" s="4">
        <f>SUM(H70:H83)</f>
        <v>410000</v>
      </c>
      <c r="I84" s="4">
        <f>SUM(I70:I83)</f>
        <v>481500</v>
      </c>
      <c r="J84" s="4">
        <f>SUM(J70:J83)</f>
        <v>720575</v>
      </c>
      <c r="K84" s="4">
        <f>SUM(K70:K83)</f>
        <v>1034753.75</v>
      </c>
    </row>
    <row r="85" spans="3:11" s="1" customFormat="1" ht="12.75">
      <c r="C85" s="1" t="s">
        <v>40</v>
      </c>
      <c r="D85" s="4"/>
      <c r="E85" s="4"/>
      <c r="F85" s="11"/>
      <c r="G85" s="5"/>
      <c r="H85" s="5"/>
      <c r="I85" s="5"/>
      <c r="J85" s="5"/>
      <c r="K85" s="5"/>
    </row>
    <row r="86" spans="2:11" s="1" customFormat="1" ht="12.75">
      <c r="B86" s="1" t="s">
        <v>346</v>
      </c>
      <c r="D86" s="4"/>
      <c r="E86" s="4"/>
      <c r="F86" s="11"/>
      <c r="G86" s="4">
        <f>G84+G85</f>
        <v>125000</v>
      </c>
      <c r="H86" s="4">
        <f>H84+H85</f>
        <v>410000</v>
      </c>
      <c r="I86" s="4">
        <f>I84+I85</f>
        <v>481500</v>
      </c>
      <c r="J86" s="4">
        <f>J84+J85</f>
        <v>720575</v>
      </c>
      <c r="K86" s="4">
        <f>K84+K85</f>
        <v>1034753.75</v>
      </c>
    </row>
    <row r="87" spans="2:11" s="1" customFormat="1" ht="12.75">
      <c r="B87" s="1" t="s">
        <v>92</v>
      </c>
      <c r="D87" s="4"/>
      <c r="E87" s="4"/>
      <c r="F87" s="11"/>
      <c r="G87" s="4">
        <f>COUNTIF(G70:G83,"&gt;0")</f>
        <v>4</v>
      </c>
      <c r="H87" s="4">
        <f>COUNTIF(H70:H83,"&gt;0")</f>
        <v>5</v>
      </c>
      <c r="I87" s="4">
        <f>COUNTIF(I70:I83,"&gt;0")</f>
        <v>6</v>
      </c>
      <c r="J87" s="4">
        <f>COUNTIF(J70:J83,"&gt;0")</f>
        <v>9</v>
      </c>
      <c r="K87" s="4">
        <f>COUNTIF(K70:K83,"&gt;0")</f>
        <v>13</v>
      </c>
    </row>
    <row r="88" spans="4:11" s="1" customFormat="1" ht="12.75">
      <c r="D88" s="4"/>
      <c r="E88" s="4"/>
      <c r="F88" s="11"/>
      <c r="G88" s="4"/>
      <c r="H88" s="4"/>
      <c r="I88" s="4"/>
      <c r="J88" s="4"/>
      <c r="K88" s="4"/>
    </row>
    <row r="89" spans="1:11" s="1" customFormat="1" ht="12.75">
      <c r="A89" s="2" t="s">
        <v>355</v>
      </c>
      <c r="D89" s="4"/>
      <c r="E89" s="4"/>
      <c r="F89" s="11"/>
      <c r="G89" s="4"/>
      <c r="H89" s="4"/>
      <c r="I89" s="4"/>
      <c r="J89" s="4"/>
      <c r="K89" s="4"/>
    </row>
    <row r="90" spans="3:11" s="1" customFormat="1" ht="12.75">
      <c r="C90" s="1" t="s">
        <v>369</v>
      </c>
      <c r="D90" s="4">
        <v>1</v>
      </c>
      <c r="E90" s="4">
        <v>125000</v>
      </c>
      <c r="F90" s="11">
        <v>1999</v>
      </c>
      <c r="G90" s="4">
        <f>Annual_Salary/12*4</f>
        <v>41666.666666666664</v>
      </c>
      <c r="H90" s="4">
        <f>Annual_Salary</f>
        <v>125000</v>
      </c>
      <c r="I90" s="4">
        <f>Annual_Salary*1.05</f>
        <v>131250</v>
      </c>
      <c r="J90" s="4">
        <f>I90*1.05</f>
        <v>137812.5</v>
      </c>
      <c r="K90" s="4">
        <f>J90*1.05</f>
        <v>144703.125</v>
      </c>
    </row>
    <row r="91" spans="3:11" s="1" customFormat="1" ht="12.75">
      <c r="C91" s="1" t="s">
        <v>325</v>
      </c>
      <c r="D91" s="4">
        <v>1</v>
      </c>
      <c r="E91" s="4">
        <v>60000</v>
      </c>
      <c r="F91" s="11">
        <v>1999</v>
      </c>
      <c r="G91" s="4">
        <f>Annual_Salary/12*3</f>
        <v>15000</v>
      </c>
      <c r="H91" s="4">
        <f>Annual_Salary*1.05</f>
        <v>63000</v>
      </c>
      <c r="I91" s="4">
        <f>H91*1.15</f>
        <v>72450</v>
      </c>
      <c r="J91" s="4">
        <f>I91*1.1</f>
        <v>79695</v>
      </c>
      <c r="K91" s="4">
        <f>J91*1.05</f>
        <v>83679.75</v>
      </c>
    </row>
    <row r="92" spans="3:11" s="1" customFormat="1" ht="12.75">
      <c r="C92" s="1" t="s">
        <v>325</v>
      </c>
      <c r="D92" s="4">
        <v>1</v>
      </c>
      <c r="E92" s="4">
        <v>85000</v>
      </c>
      <c r="F92" s="11">
        <v>2001</v>
      </c>
      <c r="G92" s="4"/>
      <c r="H92" s="4"/>
      <c r="I92" s="4">
        <f>E92</f>
        <v>85000</v>
      </c>
      <c r="J92" s="4">
        <f>I92*1.05</f>
        <v>89250</v>
      </c>
      <c r="K92" s="4">
        <f>Annual_Salary</f>
        <v>85000</v>
      </c>
    </row>
    <row r="93" spans="3:11" s="1" customFormat="1" ht="12.75">
      <c r="C93" s="1" t="s">
        <v>325</v>
      </c>
      <c r="D93" s="4"/>
      <c r="E93" s="4">
        <v>85000</v>
      </c>
      <c r="F93" s="11"/>
      <c r="G93" s="4"/>
      <c r="H93" s="4"/>
      <c r="I93" s="4"/>
      <c r="J93" s="4"/>
      <c r="K93" s="4"/>
    </row>
    <row r="94" spans="3:11" s="1" customFormat="1" ht="12.75">
      <c r="C94" s="1" t="s">
        <v>365</v>
      </c>
      <c r="D94" s="4">
        <v>5</v>
      </c>
      <c r="E94" s="4">
        <v>75000</v>
      </c>
      <c r="F94" s="11">
        <v>1999</v>
      </c>
      <c r="G94" s="4">
        <f>No_of_Persons*(Annual_Salary/12*3)</f>
        <v>93750</v>
      </c>
      <c r="H94" s="4">
        <f>No_of_Persons*Annual_Salary</f>
        <v>375000</v>
      </c>
      <c r="I94" s="4">
        <f aca="true" t="shared" si="8" ref="I94:K95">H94*1.05</f>
        <v>393750</v>
      </c>
      <c r="J94" s="4">
        <f t="shared" si="8"/>
        <v>413437.5</v>
      </c>
      <c r="K94" s="4">
        <f t="shared" si="8"/>
        <v>434109.375</v>
      </c>
    </row>
    <row r="95" spans="3:11" s="1" customFormat="1" ht="12.75">
      <c r="C95" s="1" t="s">
        <v>366</v>
      </c>
      <c r="D95" s="4">
        <v>3</v>
      </c>
      <c r="E95" s="4">
        <v>80000</v>
      </c>
      <c r="F95" s="11">
        <v>2000</v>
      </c>
      <c r="G95" s="4"/>
      <c r="H95" s="4">
        <f>No_of_Persons*Annual_Salary</f>
        <v>240000</v>
      </c>
      <c r="I95" s="4">
        <f t="shared" si="8"/>
        <v>252000</v>
      </c>
      <c r="J95" s="4">
        <f t="shared" si="8"/>
        <v>264600</v>
      </c>
      <c r="K95" s="4">
        <f t="shared" si="8"/>
        <v>277830</v>
      </c>
    </row>
    <row r="96" spans="3:11" s="1" customFormat="1" ht="12.75">
      <c r="C96" s="1" t="s">
        <v>370</v>
      </c>
      <c r="D96" s="4">
        <v>4</v>
      </c>
      <c r="E96" s="4">
        <v>80000</v>
      </c>
      <c r="F96" s="11">
        <v>2001</v>
      </c>
      <c r="G96" s="4"/>
      <c r="H96" s="4"/>
      <c r="I96" s="4">
        <f>No_of_Persons*Annual_Salary</f>
        <v>320000</v>
      </c>
      <c r="J96" s="4">
        <f>I96*1.05</f>
        <v>336000</v>
      </c>
      <c r="K96" s="4">
        <f>J96*1.05</f>
        <v>352800</v>
      </c>
    </row>
    <row r="97" spans="3:11" s="1" customFormat="1" ht="12.75">
      <c r="C97" s="1" t="s">
        <v>367</v>
      </c>
      <c r="D97" s="4">
        <v>4</v>
      </c>
      <c r="E97" s="4">
        <v>80000</v>
      </c>
      <c r="F97" s="11">
        <v>2002</v>
      </c>
      <c r="G97" s="4"/>
      <c r="H97" s="4"/>
      <c r="I97" s="4"/>
      <c r="J97" s="4">
        <f>No_of_Persons*Annual_Salary</f>
        <v>320000</v>
      </c>
      <c r="K97" s="4">
        <f>J97*1.05</f>
        <v>336000</v>
      </c>
    </row>
    <row r="98" spans="3:11" s="1" customFormat="1" ht="12.75">
      <c r="C98" s="1" t="s">
        <v>368</v>
      </c>
      <c r="D98" s="4">
        <v>6</v>
      </c>
      <c r="E98" s="4">
        <v>80000</v>
      </c>
      <c r="F98" s="11">
        <v>2003</v>
      </c>
      <c r="G98" s="5"/>
      <c r="H98" s="5"/>
      <c r="I98" s="5"/>
      <c r="J98" s="5"/>
      <c r="K98" s="5">
        <f>No_of_Persons*Annual_Salary</f>
        <v>480000</v>
      </c>
    </row>
    <row r="99" spans="2:11" s="1" customFormat="1" ht="12.75">
      <c r="B99" s="1" t="s">
        <v>57</v>
      </c>
      <c r="D99" s="4"/>
      <c r="E99" s="4"/>
      <c r="F99" s="11"/>
      <c r="G99" s="4">
        <f>SUM(G90:G98)</f>
        <v>150416.66666666666</v>
      </c>
      <c r="H99" s="4">
        <f>SUM(H90:H98)</f>
        <v>803000</v>
      </c>
      <c r="I99" s="4">
        <f>SUM(I90:I98)</f>
        <v>1254450</v>
      </c>
      <c r="J99" s="4">
        <f>SUM(J90:J98)</f>
        <v>1640795</v>
      </c>
      <c r="K99" s="4">
        <f>SUM(K90:K98)</f>
        <v>2194122.25</v>
      </c>
    </row>
    <row r="100" spans="3:11" s="1" customFormat="1" ht="12.75">
      <c r="C100" s="1" t="s">
        <v>40</v>
      </c>
      <c r="D100" s="4"/>
      <c r="E100" s="4"/>
      <c r="F100" s="11"/>
      <c r="G100" s="5"/>
      <c r="H100" s="5"/>
      <c r="I100" s="5"/>
      <c r="J100" s="5"/>
      <c r="K100" s="5"/>
    </row>
    <row r="101" spans="2:11" s="1" customFormat="1" ht="12.75">
      <c r="B101" s="1" t="s">
        <v>58</v>
      </c>
      <c r="D101" s="4"/>
      <c r="E101" s="4"/>
      <c r="F101" s="11"/>
      <c r="G101" s="4">
        <f>G99+G100</f>
        <v>150416.66666666666</v>
      </c>
      <c r="H101" s="4">
        <f>H99+H100</f>
        <v>803000</v>
      </c>
      <c r="I101" s="4">
        <f>I99+I100</f>
        <v>1254450</v>
      </c>
      <c r="J101" s="4">
        <f>J99+J100</f>
        <v>1640795</v>
      </c>
      <c r="K101" s="4">
        <f>K99+K100</f>
        <v>2194122.25</v>
      </c>
    </row>
    <row r="102" spans="2:11" s="1" customFormat="1" ht="12.75">
      <c r="B102" s="1" t="s">
        <v>347</v>
      </c>
      <c r="D102" s="4"/>
      <c r="E102" s="4"/>
      <c r="F102" s="11"/>
      <c r="G102" s="4">
        <f>D90+D91+D94</f>
        <v>7</v>
      </c>
      <c r="H102" s="4">
        <f>G102+D95</f>
        <v>10</v>
      </c>
      <c r="I102" s="4">
        <f>H102+D96</f>
        <v>14</v>
      </c>
      <c r="J102" s="4">
        <f>I102+D97</f>
        <v>18</v>
      </c>
      <c r="K102" s="4">
        <f>J102+D98</f>
        <v>24</v>
      </c>
    </row>
    <row r="103" spans="4:11" s="1" customFormat="1" ht="12.75">
      <c r="D103" s="4"/>
      <c r="E103" s="4"/>
      <c r="F103" s="11"/>
      <c r="G103" s="4"/>
      <c r="H103" s="4"/>
      <c r="I103" s="4"/>
      <c r="J103" s="4"/>
      <c r="K103" s="4"/>
    </row>
    <row r="104" spans="1:11" s="1" customFormat="1" ht="12.75">
      <c r="A104" s="2" t="s">
        <v>59</v>
      </c>
      <c r="B104" s="2"/>
      <c r="D104" s="4"/>
      <c r="E104" s="4"/>
      <c r="F104" s="11"/>
      <c r="G104" s="4"/>
      <c r="H104" s="4"/>
      <c r="I104" s="4"/>
      <c r="J104" s="4"/>
      <c r="K104" s="4"/>
    </row>
    <row r="105" spans="3:11" s="1" customFormat="1" ht="12.75">
      <c r="C105" s="1" t="s">
        <v>60</v>
      </c>
      <c r="D105" s="4">
        <v>1</v>
      </c>
      <c r="E105" s="4">
        <v>75000</v>
      </c>
      <c r="F105" s="11">
        <v>2000</v>
      </c>
      <c r="G105" s="4"/>
      <c r="H105" s="4">
        <f>Annual_Salary</f>
        <v>75000</v>
      </c>
      <c r="I105" s="4">
        <f>H105*1.05</f>
        <v>78750</v>
      </c>
      <c r="J105" s="4">
        <f>I105*1.05</f>
        <v>82687.5</v>
      </c>
      <c r="K105" s="4">
        <f>J105*1.05</f>
        <v>86821.875</v>
      </c>
    </row>
    <row r="106" spans="3:11" s="1" customFormat="1" ht="12.75">
      <c r="C106" s="1" t="s">
        <v>61</v>
      </c>
      <c r="D106" s="4"/>
      <c r="E106" s="4">
        <v>70000</v>
      </c>
      <c r="F106" s="11">
        <v>2001</v>
      </c>
      <c r="G106" s="4"/>
      <c r="H106" s="4"/>
      <c r="I106" s="4">
        <f>Annual_Salary</f>
        <v>70000</v>
      </c>
      <c r="J106" s="4">
        <f aca="true" t="shared" si="9" ref="J106:K111">I106*1.05</f>
        <v>73500</v>
      </c>
      <c r="K106" s="4">
        <f t="shared" si="9"/>
        <v>77175</v>
      </c>
    </row>
    <row r="107" spans="3:11" s="1" customFormat="1" ht="12.75">
      <c r="C107" s="1" t="s">
        <v>63</v>
      </c>
      <c r="D107" s="4"/>
      <c r="E107" s="4">
        <v>80000</v>
      </c>
      <c r="F107" s="11">
        <v>2000</v>
      </c>
      <c r="G107" s="4"/>
      <c r="H107" s="4">
        <f>Annual_Salary</f>
        <v>80000</v>
      </c>
      <c r="I107" s="4">
        <f>H107*1.05</f>
        <v>84000</v>
      </c>
      <c r="J107" s="4">
        <f t="shared" si="9"/>
        <v>88200</v>
      </c>
      <c r="K107" s="4">
        <f t="shared" si="9"/>
        <v>92610</v>
      </c>
    </row>
    <row r="108" spans="3:11" s="1" customFormat="1" ht="12.75">
      <c r="C108" s="1" t="s">
        <v>64</v>
      </c>
      <c r="D108" s="4">
        <v>1</v>
      </c>
      <c r="E108" s="4">
        <v>40000</v>
      </c>
      <c r="F108" s="11">
        <v>1999</v>
      </c>
      <c r="G108" s="4">
        <f>Annual_Salary*0.5</f>
        <v>20000</v>
      </c>
      <c r="H108" s="4">
        <f>Annual_Salary</f>
        <v>40000</v>
      </c>
      <c r="I108" s="4">
        <f>H108*1.05</f>
        <v>42000</v>
      </c>
      <c r="J108" s="4">
        <f t="shared" si="9"/>
        <v>44100</v>
      </c>
      <c r="K108" s="4">
        <f t="shared" si="9"/>
        <v>46305</v>
      </c>
    </row>
    <row r="109" spans="3:11" s="1" customFormat="1" ht="12.75">
      <c r="C109" s="1" t="s">
        <v>64</v>
      </c>
      <c r="D109" s="4">
        <v>1</v>
      </c>
      <c r="E109" s="4">
        <v>40000</v>
      </c>
      <c r="F109" s="11">
        <v>2001</v>
      </c>
      <c r="G109" s="4"/>
      <c r="H109" s="4"/>
      <c r="I109" s="4">
        <f>Annual_Salary</f>
        <v>40000</v>
      </c>
      <c r="J109" s="4">
        <f t="shared" si="9"/>
        <v>42000</v>
      </c>
      <c r="K109" s="4">
        <f t="shared" si="9"/>
        <v>44100</v>
      </c>
    </row>
    <row r="110" spans="3:11" s="1" customFormat="1" ht="12.75">
      <c r="C110" s="1" t="s">
        <v>65</v>
      </c>
      <c r="D110" s="4">
        <v>1</v>
      </c>
      <c r="E110" s="4">
        <v>50000</v>
      </c>
      <c r="F110" s="11">
        <v>2000</v>
      </c>
      <c r="G110" s="4"/>
      <c r="H110" s="4">
        <f>Annual_Salary</f>
        <v>50000</v>
      </c>
      <c r="I110" s="4">
        <f>H110*1.05</f>
        <v>52500</v>
      </c>
      <c r="J110" s="4">
        <f t="shared" si="9"/>
        <v>55125</v>
      </c>
      <c r="K110" s="4">
        <f t="shared" si="9"/>
        <v>57881.25</v>
      </c>
    </row>
    <row r="111" spans="3:11" s="1" customFormat="1" ht="12.75">
      <c r="C111" s="1" t="s">
        <v>66</v>
      </c>
      <c r="D111" s="4">
        <v>1</v>
      </c>
      <c r="E111" s="4">
        <v>75000</v>
      </c>
      <c r="F111" s="11">
        <v>2000</v>
      </c>
      <c r="G111" s="5"/>
      <c r="H111" s="5">
        <f>Annual_Salary</f>
        <v>75000</v>
      </c>
      <c r="I111" s="5">
        <f>H111*1.05</f>
        <v>78750</v>
      </c>
      <c r="J111" s="5">
        <f t="shared" si="9"/>
        <v>82687.5</v>
      </c>
      <c r="K111" s="5">
        <f t="shared" si="9"/>
        <v>86821.875</v>
      </c>
    </row>
    <row r="112" spans="2:11" s="1" customFormat="1" ht="12.75">
      <c r="B112" s="1" t="s">
        <v>67</v>
      </c>
      <c r="D112" s="4"/>
      <c r="E112" s="4"/>
      <c r="F112" s="11"/>
      <c r="G112" s="4">
        <f>SUM(G105:G111)</f>
        <v>20000</v>
      </c>
      <c r="H112" s="4">
        <f>SUM(H105:H111)</f>
        <v>320000</v>
      </c>
      <c r="I112" s="4">
        <f>SUM(I105:I111)</f>
        <v>446000</v>
      </c>
      <c r="J112" s="4">
        <f>SUM(J105:J111)</f>
        <v>468300</v>
      </c>
      <c r="K112" s="4">
        <f>SUM(K105:K111)</f>
        <v>491715</v>
      </c>
    </row>
    <row r="113" spans="3:11" s="1" customFormat="1" ht="12.75">
      <c r="C113" s="1" t="s">
        <v>40</v>
      </c>
      <c r="D113" s="4"/>
      <c r="E113" s="4"/>
      <c r="F113" s="11"/>
      <c r="G113" s="5"/>
      <c r="H113" s="5"/>
      <c r="I113" s="5"/>
      <c r="J113" s="5">
        <v>60000</v>
      </c>
      <c r="K113" s="5">
        <v>80000</v>
      </c>
    </row>
    <row r="114" spans="2:11" s="1" customFormat="1" ht="12.75">
      <c r="B114" s="1" t="s">
        <v>68</v>
      </c>
      <c r="D114" s="4"/>
      <c r="E114" s="4"/>
      <c r="F114" s="11"/>
      <c r="G114" s="4">
        <f>G112+G113</f>
        <v>20000</v>
      </c>
      <c r="H114" s="4">
        <f>H112+H113</f>
        <v>320000</v>
      </c>
      <c r="I114" s="4">
        <f>I112+I113</f>
        <v>446000</v>
      </c>
      <c r="J114" s="4">
        <f>J112+J113</f>
        <v>528300</v>
      </c>
      <c r="K114" s="4">
        <f>K112+K113</f>
        <v>571715</v>
      </c>
    </row>
    <row r="115" spans="2:11" s="1" customFormat="1" ht="12.75">
      <c r="B115" s="1" t="s">
        <v>93</v>
      </c>
      <c r="D115" s="4"/>
      <c r="E115" s="4"/>
      <c r="F115" s="11"/>
      <c r="G115" s="4">
        <f>COUNTIF(G105:G111,"&gt;0")</f>
        <v>1</v>
      </c>
      <c r="H115" s="4">
        <f>COUNTIF(H105:H111,"&gt;0")</f>
        <v>5</v>
      </c>
      <c r="I115" s="4">
        <f>COUNTIF(I105:I111,"&gt;0")</f>
        <v>7</v>
      </c>
      <c r="J115" s="4">
        <f>COUNTIF(J105:J111,"&gt;0")</f>
        <v>7</v>
      </c>
      <c r="K115" s="4">
        <f>COUNTIF(K105:K111,"&gt;0")</f>
        <v>7</v>
      </c>
    </row>
    <row r="116" spans="4:11" s="1" customFormat="1" ht="12.75">
      <c r="D116" s="4"/>
      <c r="E116" s="4"/>
      <c r="F116" s="11"/>
      <c r="G116" s="4"/>
      <c r="H116" s="4"/>
      <c r="I116" s="4"/>
      <c r="J116" s="4"/>
      <c r="K116" s="4"/>
    </row>
    <row r="117" spans="1:11" s="1" customFormat="1" ht="12.75">
      <c r="A117" s="2" t="s">
        <v>69</v>
      </c>
      <c r="B117" s="2"/>
      <c r="D117" s="4"/>
      <c r="E117" s="4"/>
      <c r="F117" s="11"/>
      <c r="G117" s="4"/>
      <c r="H117" s="4"/>
      <c r="I117" s="4"/>
      <c r="J117" s="4"/>
      <c r="K117" s="4"/>
    </row>
    <row r="118" spans="3:11" s="1" customFormat="1" ht="12.75">
      <c r="C118" s="1" t="s">
        <v>70</v>
      </c>
      <c r="D118" s="4">
        <v>1</v>
      </c>
      <c r="E118" s="4">
        <v>55000</v>
      </c>
      <c r="F118" s="11">
        <v>2000</v>
      </c>
      <c r="G118" s="4"/>
      <c r="H118" s="4">
        <f>Annual_Salary</f>
        <v>55000</v>
      </c>
      <c r="I118" s="4">
        <f>H118*1.05</f>
        <v>57750</v>
      </c>
      <c r="J118" s="4">
        <f>I118*1.05</f>
        <v>60637.5</v>
      </c>
      <c r="K118" s="4">
        <f>J118*1.05</f>
        <v>63669.375</v>
      </c>
    </row>
    <row r="119" spans="3:11" s="1" customFormat="1" ht="12.75">
      <c r="C119" s="1" t="s">
        <v>83</v>
      </c>
      <c r="D119" s="4">
        <v>1</v>
      </c>
      <c r="E119" s="4">
        <v>42600</v>
      </c>
      <c r="F119" s="11">
        <v>1999</v>
      </c>
      <c r="G119" s="4">
        <f>Annual_Salary*No_of_Persons*0.5</f>
        <v>21300</v>
      </c>
      <c r="H119" s="4">
        <f>Annual_Salary*No_of_Persons</f>
        <v>42600</v>
      </c>
      <c r="I119" s="4">
        <f>Annual_Salary*No_of_Persons*1.05</f>
        <v>44730</v>
      </c>
      <c r="J119" s="4">
        <f aca="true" t="shared" si="10" ref="J119:K121">I119*1.05</f>
        <v>46966.5</v>
      </c>
      <c r="K119" s="4">
        <f t="shared" si="10"/>
        <v>49314.825000000004</v>
      </c>
    </row>
    <row r="120" spans="3:11" s="1" customFormat="1" ht="12.75">
      <c r="C120" s="1" t="s">
        <v>83</v>
      </c>
      <c r="D120" s="4">
        <v>1</v>
      </c>
      <c r="E120" s="4">
        <v>28000</v>
      </c>
      <c r="F120" s="11">
        <v>1999</v>
      </c>
      <c r="G120" s="4">
        <f>Annual_Salary*No_of_Persons*0.5</f>
        <v>14000</v>
      </c>
      <c r="H120" s="4">
        <f>Annual_Salary*No_of_Persons</f>
        <v>28000</v>
      </c>
      <c r="I120" s="4">
        <f>Annual_Salary*No_of_Persons*1.05</f>
        <v>29400</v>
      </c>
      <c r="J120" s="4">
        <f t="shared" si="10"/>
        <v>30870</v>
      </c>
      <c r="K120" s="4">
        <f t="shared" si="10"/>
        <v>32413.5</v>
      </c>
    </row>
    <row r="121" spans="3:11" s="1" customFormat="1" ht="12.75">
      <c r="C121" s="1" t="s">
        <v>328</v>
      </c>
      <c r="D121" s="4">
        <v>1</v>
      </c>
      <c r="E121" s="4">
        <v>35000</v>
      </c>
      <c r="F121" s="11">
        <v>1999</v>
      </c>
      <c r="G121" s="4">
        <f>Annual_Salary*No_of_Persons*0.5</f>
        <v>17500</v>
      </c>
      <c r="H121" s="4">
        <f>Annual_Salary*No_of_Persons</f>
        <v>35000</v>
      </c>
      <c r="I121" s="4">
        <f>Annual_Salary*No_of_Persons*1.05</f>
        <v>36750</v>
      </c>
      <c r="J121" s="4">
        <f t="shared" si="10"/>
        <v>38587.5</v>
      </c>
      <c r="K121" s="4">
        <f t="shared" si="10"/>
        <v>40516.875</v>
      </c>
    </row>
    <row r="122" spans="3:11" s="1" customFormat="1" ht="12.75">
      <c r="C122" s="1" t="s">
        <v>84</v>
      </c>
      <c r="D122" s="4">
        <v>1</v>
      </c>
      <c r="E122" s="4">
        <v>35000</v>
      </c>
      <c r="F122" s="11">
        <v>2000</v>
      </c>
      <c r="G122" s="4"/>
      <c r="H122" s="4">
        <f>No_of_Persons*Annual_Salary</f>
        <v>35000</v>
      </c>
      <c r="I122" s="4">
        <f>H122*1.05</f>
        <v>36750</v>
      </c>
      <c r="J122" s="4">
        <f aca="true" t="shared" si="11" ref="J122:K124">I122*1.05</f>
        <v>38587.5</v>
      </c>
      <c r="K122" s="4">
        <f t="shared" si="11"/>
        <v>40516.875</v>
      </c>
    </row>
    <row r="123" spans="3:11" s="1" customFormat="1" ht="12.75">
      <c r="C123" s="1" t="s">
        <v>85</v>
      </c>
      <c r="D123" s="4">
        <v>2</v>
      </c>
      <c r="E123" s="4">
        <v>35000</v>
      </c>
      <c r="F123" s="11">
        <v>2001</v>
      </c>
      <c r="G123" s="4"/>
      <c r="H123" s="4"/>
      <c r="I123" s="4">
        <f>No_of_Persons*Annual_Salary</f>
        <v>70000</v>
      </c>
      <c r="J123" s="4">
        <f t="shared" si="11"/>
        <v>73500</v>
      </c>
      <c r="K123" s="4">
        <f t="shared" si="11"/>
        <v>77175</v>
      </c>
    </row>
    <row r="124" spans="3:11" s="1" customFormat="1" ht="12.75">
      <c r="C124" s="1" t="s">
        <v>86</v>
      </c>
      <c r="D124" s="4">
        <v>2</v>
      </c>
      <c r="E124" s="4">
        <v>40000</v>
      </c>
      <c r="F124" s="11">
        <v>2002</v>
      </c>
      <c r="G124" s="4"/>
      <c r="H124" s="4"/>
      <c r="I124" s="4"/>
      <c r="J124" s="4">
        <f>No_of_Persons*Annual_Salary</f>
        <v>80000</v>
      </c>
      <c r="K124" s="4">
        <f t="shared" si="11"/>
        <v>84000</v>
      </c>
    </row>
    <row r="125" spans="3:11" s="1" customFormat="1" ht="12.75">
      <c r="C125" s="1" t="s">
        <v>87</v>
      </c>
      <c r="D125" s="4">
        <v>2</v>
      </c>
      <c r="E125" s="4">
        <v>40000</v>
      </c>
      <c r="F125" s="11">
        <v>2003</v>
      </c>
      <c r="G125" s="5"/>
      <c r="H125" s="5"/>
      <c r="I125" s="5"/>
      <c r="J125" s="5"/>
      <c r="K125" s="5">
        <f>No_of_Persons*Annual_Salary</f>
        <v>80000</v>
      </c>
    </row>
    <row r="126" spans="2:11" s="1" customFormat="1" ht="12.75">
      <c r="B126" s="1" t="s">
        <v>71</v>
      </c>
      <c r="D126" s="4"/>
      <c r="E126" s="4"/>
      <c r="F126" s="11"/>
      <c r="G126" s="4">
        <f>SUM(G118:G125)</f>
        <v>52800</v>
      </c>
      <c r="H126" s="4">
        <f>SUM(H118:H125)</f>
        <v>195600</v>
      </c>
      <c r="I126" s="4">
        <f>SUM(I118:I125)</f>
        <v>275380</v>
      </c>
      <c r="J126" s="4">
        <f>SUM(J118:J125)</f>
        <v>369149</v>
      </c>
      <c r="K126" s="4">
        <f>SUM(K118:K125)</f>
        <v>467606.45</v>
      </c>
    </row>
    <row r="127" spans="3:11" s="1" customFormat="1" ht="12.75">
      <c r="C127" s="1" t="s">
        <v>40</v>
      </c>
      <c r="D127" s="4"/>
      <c r="E127" s="4"/>
      <c r="F127" s="11"/>
      <c r="G127" s="5"/>
      <c r="H127" s="5"/>
      <c r="I127" s="5"/>
      <c r="J127" s="5">
        <v>45000</v>
      </c>
      <c r="K127" s="5">
        <v>55000</v>
      </c>
    </row>
    <row r="128" spans="2:11" s="1" customFormat="1" ht="12.75">
      <c r="B128" s="1" t="s">
        <v>72</v>
      </c>
      <c r="D128" s="4"/>
      <c r="E128" s="4"/>
      <c r="F128" s="11"/>
      <c r="G128" s="12">
        <f>G126+G127</f>
        <v>52800</v>
      </c>
      <c r="H128" s="12">
        <f>H126+H127</f>
        <v>195600</v>
      </c>
      <c r="I128" s="12">
        <f>I126+I127</f>
        <v>275380</v>
      </c>
      <c r="J128" s="12">
        <f>J126+J127</f>
        <v>414149</v>
      </c>
      <c r="K128" s="12">
        <f>K126+K127</f>
        <v>522606.45</v>
      </c>
    </row>
    <row r="129" spans="2:11" s="1" customFormat="1" ht="12.75">
      <c r="B129" s="1" t="s">
        <v>94</v>
      </c>
      <c r="D129" s="4"/>
      <c r="E129" s="4"/>
      <c r="F129" s="11"/>
      <c r="G129" s="12">
        <f>COUNTIF(G118:G125,"&gt;0")</f>
        <v>3</v>
      </c>
      <c r="H129" s="12">
        <f>COUNTIF(H118:H125,"&gt;0")</f>
        <v>5</v>
      </c>
      <c r="I129" s="12">
        <f>H129+D123</f>
        <v>7</v>
      </c>
      <c r="J129" s="12">
        <f>I129+D124</f>
        <v>9</v>
      </c>
      <c r="K129" s="12">
        <f>J129+D125</f>
        <v>11</v>
      </c>
    </row>
    <row r="130" spans="4:11" s="1" customFormat="1" ht="12.75">
      <c r="D130" s="4"/>
      <c r="E130" s="4"/>
      <c r="F130" s="11"/>
      <c r="G130" s="12"/>
      <c r="H130" s="12"/>
      <c r="I130" s="12"/>
      <c r="J130" s="12"/>
      <c r="K130" s="12"/>
    </row>
    <row r="131" spans="1:11" s="1" customFormat="1" ht="12.75">
      <c r="A131" s="2" t="s">
        <v>95</v>
      </c>
      <c r="D131" s="4"/>
      <c r="E131" s="4"/>
      <c r="F131" s="11"/>
      <c r="G131" s="4"/>
      <c r="H131" s="4"/>
      <c r="I131" s="4"/>
      <c r="J131" s="4"/>
      <c r="K131" s="4"/>
    </row>
    <row r="132" spans="2:11" s="1" customFormat="1" ht="12.75">
      <c r="B132" s="1" t="s">
        <v>29</v>
      </c>
      <c r="D132" s="4"/>
      <c r="E132" s="4"/>
      <c r="F132" s="11"/>
      <c r="G132" s="4">
        <f>G26</f>
        <v>188500</v>
      </c>
      <c r="H132" s="4">
        <f>H26</f>
        <v>633100</v>
      </c>
      <c r="I132" s="4">
        <f>I26</f>
        <v>1112100</v>
      </c>
      <c r="J132" s="4">
        <f>J26</f>
        <v>1456705</v>
      </c>
      <c r="K132" s="4">
        <f>K26</f>
        <v>1631540.25</v>
      </c>
    </row>
    <row r="133" spans="2:11" s="1" customFormat="1" ht="12.75">
      <c r="B133" s="1" t="s">
        <v>345</v>
      </c>
      <c r="D133" s="4"/>
      <c r="E133" s="4"/>
      <c r="F133" s="11"/>
      <c r="G133" s="4">
        <f>G86+G114+G128</f>
        <v>197800</v>
      </c>
      <c r="H133" s="4">
        <f>H86+H114+H128</f>
        <v>925600</v>
      </c>
      <c r="I133" s="4">
        <f>I86+I114+I128</f>
        <v>1202880</v>
      </c>
      <c r="J133" s="4">
        <f>J86+J114+J128</f>
        <v>1663024</v>
      </c>
      <c r="K133" s="4">
        <f>K86+K114+K128</f>
        <v>2129075.2</v>
      </c>
    </row>
    <row r="134" spans="2:11" s="1" customFormat="1" ht="12.75">
      <c r="B134" s="1" t="s">
        <v>355</v>
      </c>
      <c r="D134" s="4"/>
      <c r="E134" s="4"/>
      <c r="F134" s="11"/>
      <c r="G134" s="4">
        <f>G101</f>
        <v>150416.66666666666</v>
      </c>
      <c r="H134" s="4">
        <f>H101</f>
        <v>803000</v>
      </c>
      <c r="I134" s="4">
        <f>I101</f>
        <v>1254450</v>
      </c>
      <c r="J134" s="4">
        <f>J101</f>
        <v>1640795</v>
      </c>
      <c r="K134" s="4">
        <f>K101</f>
        <v>2194122.25</v>
      </c>
    </row>
    <row r="135" spans="2:11" s="1" customFormat="1" ht="12.75">
      <c r="B135" s="1" t="s">
        <v>27</v>
      </c>
      <c r="D135" s="4"/>
      <c r="E135" s="4"/>
      <c r="F135" s="11"/>
      <c r="G135" s="5">
        <f>G66</f>
        <v>333750</v>
      </c>
      <c r="H135" s="5">
        <f>H66</f>
        <v>1329791.6666666667</v>
      </c>
      <c r="I135" s="5">
        <f>I66</f>
        <v>1842581.25</v>
      </c>
      <c r="J135" s="5">
        <f>J66</f>
        <v>2173531.8125</v>
      </c>
      <c r="K135" s="5">
        <f>K66</f>
        <v>2374708.403125</v>
      </c>
    </row>
    <row r="136" spans="2:11" s="1" customFormat="1" ht="13.5" thickBot="1">
      <c r="B136" s="1" t="s">
        <v>73</v>
      </c>
      <c r="D136" s="4"/>
      <c r="E136" s="4"/>
      <c r="F136" s="11"/>
      <c r="G136" s="47">
        <f>SUM(G132:G135)</f>
        <v>870466.6666666666</v>
      </c>
      <c r="H136" s="47">
        <f>SUM(H132:H135)</f>
        <v>3691491.666666667</v>
      </c>
      <c r="I136" s="47">
        <f>SUM(I132:I135)</f>
        <v>5412011.25</v>
      </c>
      <c r="J136" s="47">
        <f>SUM(J132:J135)</f>
        <v>6934055.8125</v>
      </c>
      <c r="K136" s="47">
        <f>SUM(K132:K135)</f>
        <v>8329446.103125</v>
      </c>
    </row>
    <row r="137" spans="4:11" s="1" customFormat="1" ht="13.5" thickTop="1">
      <c r="D137" s="4"/>
      <c r="E137" s="4"/>
      <c r="F137" s="11"/>
      <c r="G137" s="4"/>
      <c r="H137" s="4"/>
      <c r="I137" s="4"/>
      <c r="J137" s="4"/>
      <c r="K137" s="4"/>
    </row>
    <row r="138" spans="1:11" s="1" customFormat="1" ht="12.75">
      <c r="A138" s="2"/>
      <c r="B138" s="2"/>
      <c r="D138" s="4"/>
      <c r="E138" s="4"/>
      <c r="F138" s="11"/>
      <c r="G138" s="4"/>
      <c r="H138" s="4"/>
      <c r="I138" s="4"/>
      <c r="J138" s="4"/>
      <c r="K138" s="4"/>
    </row>
    <row r="139" spans="1:11" s="1" customFormat="1" ht="12.75">
      <c r="A139" s="2" t="s">
        <v>74</v>
      </c>
      <c r="B139" s="2"/>
      <c r="D139" s="4"/>
      <c r="E139" s="4"/>
      <c r="F139" s="11"/>
      <c r="G139" s="4"/>
      <c r="H139" s="4"/>
      <c r="I139" s="4"/>
      <c r="J139" s="4"/>
      <c r="K139" s="4"/>
    </row>
    <row r="140" spans="1:11" s="1" customFormat="1" ht="12.75">
      <c r="A140" s="2"/>
      <c r="B140" s="1" t="s">
        <v>27</v>
      </c>
      <c r="D140" s="4"/>
      <c r="E140" s="4"/>
      <c r="F140" s="11"/>
      <c r="G140" s="4">
        <f>G67</f>
        <v>11</v>
      </c>
      <c r="H140" s="4">
        <f>H67</f>
        <v>19</v>
      </c>
      <c r="I140" s="4">
        <f>I67</f>
        <v>23</v>
      </c>
      <c r="J140" s="4">
        <f>J67</f>
        <v>26</v>
      </c>
      <c r="K140" s="4">
        <f>K67</f>
        <v>27</v>
      </c>
    </row>
    <row r="141" spans="1:11" s="1" customFormat="1" ht="12.75">
      <c r="A141" s="2"/>
      <c r="C141" s="1" t="s">
        <v>75</v>
      </c>
      <c r="D141" s="4"/>
      <c r="E141" s="4"/>
      <c r="F141" s="11"/>
      <c r="G141" s="4">
        <f>G87</f>
        <v>4</v>
      </c>
      <c r="H141" s="4">
        <f>H87</f>
        <v>5</v>
      </c>
      <c r="I141" s="4">
        <f>I87</f>
        <v>6</v>
      </c>
      <c r="J141" s="4">
        <f>J87</f>
        <v>9</v>
      </c>
      <c r="K141" s="4">
        <f>K87</f>
        <v>13</v>
      </c>
    </row>
    <row r="142" spans="1:11" s="1" customFormat="1" ht="12.75">
      <c r="A142" s="2"/>
      <c r="C142" s="1" t="s">
        <v>59</v>
      </c>
      <c r="D142" s="4"/>
      <c r="E142" s="4"/>
      <c r="F142" s="11"/>
      <c r="G142" s="4">
        <f>G115</f>
        <v>1</v>
      </c>
      <c r="H142" s="4">
        <f>H115</f>
        <v>5</v>
      </c>
      <c r="I142" s="4">
        <f>I115</f>
        <v>7</v>
      </c>
      <c r="J142" s="4">
        <f>J115</f>
        <v>7</v>
      </c>
      <c r="K142" s="4">
        <f>K115</f>
        <v>7</v>
      </c>
    </row>
    <row r="143" spans="1:11" s="1" customFormat="1" ht="12.75">
      <c r="A143" s="2"/>
      <c r="C143" s="1" t="s">
        <v>69</v>
      </c>
      <c r="D143" s="4"/>
      <c r="E143" s="4"/>
      <c r="F143" s="11"/>
      <c r="G143" s="5">
        <f>G129</f>
        <v>3</v>
      </c>
      <c r="H143" s="5">
        <f>H129</f>
        <v>5</v>
      </c>
      <c r="I143" s="5">
        <f>I129</f>
        <v>7</v>
      </c>
      <c r="J143" s="5">
        <f>J129</f>
        <v>9</v>
      </c>
      <c r="K143" s="5">
        <f>K129</f>
        <v>11</v>
      </c>
    </row>
    <row r="144" spans="1:11" s="1" customFormat="1" ht="12.75">
      <c r="A144" s="2"/>
      <c r="B144" s="1" t="s">
        <v>28</v>
      </c>
      <c r="D144" s="4"/>
      <c r="E144" s="4"/>
      <c r="F144" s="11"/>
      <c r="G144" s="4">
        <f>SUM(G141:G143)</f>
        <v>8</v>
      </c>
      <c r="H144" s="4">
        <f>SUM(H141:H143)</f>
        <v>15</v>
      </c>
      <c r="I144" s="4">
        <f>SUM(I141:I143)</f>
        <v>20</v>
      </c>
      <c r="J144" s="4">
        <f>SUM(J141:J143)</f>
        <v>25</v>
      </c>
      <c r="K144" s="4">
        <f>SUM(K141:K143)</f>
        <v>31</v>
      </c>
    </row>
    <row r="145" spans="1:11" s="1" customFormat="1" ht="12.75">
      <c r="A145" s="2"/>
      <c r="B145" s="1" t="s">
        <v>355</v>
      </c>
      <c r="D145" s="4"/>
      <c r="E145" s="4"/>
      <c r="F145" s="11"/>
      <c r="G145" s="4">
        <f>G102</f>
        <v>7</v>
      </c>
      <c r="H145" s="4">
        <f>H102</f>
        <v>10</v>
      </c>
      <c r="I145" s="4">
        <f>I102</f>
        <v>14</v>
      </c>
      <c r="J145" s="4">
        <f>J102</f>
        <v>18</v>
      </c>
      <c r="K145" s="4">
        <f>K102</f>
        <v>24</v>
      </c>
    </row>
    <row r="146" spans="1:11" s="1" customFormat="1" ht="12.75">
      <c r="A146" s="2"/>
      <c r="B146" s="1" t="s">
        <v>29</v>
      </c>
      <c r="D146" s="4"/>
      <c r="E146" s="4"/>
      <c r="F146" s="11"/>
      <c r="G146" s="5">
        <f>G27</f>
        <v>5</v>
      </c>
      <c r="H146" s="5">
        <f>H27</f>
        <v>8</v>
      </c>
      <c r="I146" s="5">
        <f>I27</f>
        <v>12</v>
      </c>
      <c r="J146" s="5">
        <f>J27</f>
        <v>16</v>
      </c>
      <c r="K146" s="5">
        <f>K27</f>
        <v>18</v>
      </c>
    </row>
    <row r="147" spans="1:11" s="1" customFormat="1" ht="13.5" thickBot="1">
      <c r="A147" s="2"/>
      <c r="B147" s="1" t="s">
        <v>377</v>
      </c>
      <c r="D147" s="4"/>
      <c r="E147" s="4"/>
      <c r="F147" s="11"/>
      <c r="G147" s="47">
        <f>G140+G144+G145+G146</f>
        <v>31</v>
      </c>
      <c r="H147" s="47">
        <f>H140+H144+H145+H146</f>
        <v>52</v>
      </c>
      <c r="I147" s="47">
        <f>I140+I144+I145+I146</f>
        <v>69</v>
      </c>
      <c r="J147" s="47">
        <f>J140+J144+J145+J146</f>
        <v>85</v>
      </c>
      <c r="K147" s="47">
        <f>K140+K144+K145+K146</f>
        <v>100</v>
      </c>
    </row>
    <row r="148" spans="1:11" s="1" customFormat="1" ht="13.5" thickTop="1">
      <c r="A148" s="2"/>
      <c r="D148" s="4"/>
      <c r="E148" s="4"/>
      <c r="F148" s="11"/>
      <c r="G148" s="4"/>
      <c r="H148" s="4"/>
      <c r="I148" s="4"/>
      <c r="J148" s="4"/>
      <c r="K148" s="4"/>
    </row>
    <row r="149" spans="4:11" s="1" customFormat="1" ht="12.75">
      <c r="D149" s="4"/>
      <c r="E149" s="4"/>
      <c r="F149" s="11"/>
      <c r="G149" s="4"/>
      <c r="H149" s="4"/>
      <c r="I149" s="4"/>
      <c r="J149" s="4"/>
      <c r="K149" s="4"/>
    </row>
    <row r="150" spans="4:11" s="1" customFormat="1" ht="12.75">
      <c r="D150" s="4"/>
      <c r="E150" s="4"/>
      <c r="F150" s="11"/>
      <c r="G150" s="4"/>
      <c r="H150" s="4"/>
      <c r="I150" s="4"/>
      <c r="J150" s="4"/>
      <c r="K150" s="4"/>
    </row>
    <row r="151" spans="2:11" s="1" customFormat="1" ht="12.75">
      <c r="B151" s="2"/>
      <c r="D151" s="4"/>
      <c r="E151" s="4"/>
      <c r="F151" s="11"/>
      <c r="G151" s="4"/>
      <c r="H151" s="4"/>
      <c r="I151" s="4"/>
      <c r="J151" s="4"/>
      <c r="K151" s="4"/>
    </row>
    <row r="152" spans="2:11" s="1" customFormat="1" ht="12.75">
      <c r="B152" s="2"/>
      <c r="D152" s="4"/>
      <c r="E152" s="4"/>
      <c r="F152" s="11"/>
      <c r="G152" s="4"/>
      <c r="H152" s="4"/>
      <c r="I152" s="4"/>
      <c r="J152" s="4"/>
      <c r="K152" s="4"/>
    </row>
    <row r="153" spans="4:11" s="1" customFormat="1" ht="12.75">
      <c r="D153" s="4"/>
      <c r="E153" s="4"/>
      <c r="F153" s="11"/>
      <c r="G153" s="4"/>
      <c r="H153" s="4"/>
      <c r="I153" s="4"/>
      <c r="J153" s="4"/>
      <c r="K153" s="4"/>
    </row>
    <row r="154" spans="4:11" s="1" customFormat="1" ht="12.75">
      <c r="D154" s="4"/>
      <c r="E154" s="4"/>
      <c r="F154" s="11"/>
      <c r="G154" s="4"/>
      <c r="H154" s="4"/>
      <c r="I154" s="4"/>
      <c r="J154" s="4"/>
      <c r="K154" s="4"/>
    </row>
    <row r="155" spans="4:11" s="1" customFormat="1" ht="12.75">
      <c r="D155" s="4"/>
      <c r="E155" s="4"/>
      <c r="F155" s="11"/>
      <c r="G155" s="4"/>
      <c r="H155" s="4"/>
      <c r="I155" s="4"/>
      <c r="J155" s="4"/>
      <c r="K155" s="4"/>
    </row>
    <row r="156" spans="4:11" s="1" customFormat="1" ht="12.75">
      <c r="D156" s="4"/>
      <c r="E156" s="4"/>
      <c r="F156" s="11"/>
      <c r="G156" s="4"/>
      <c r="H156" s="4"/>
      <c r="I156" s="4"/>
      <c r="J156" s="4"/>
      <c r="K156" s="4"/>
    </row>
    <row r="157" spans="4:11" s="1" customFormat="1" ht="12.75">
      <c r="D157" s="4"/>
      <c r="E157" s="4"/>
      <c r="F157" s="11"/>
      <c r="G157" s="4"/>
      <c r="H157" s="4"/>
      <c r="I157" s="4"/>
      <c r="J157" s="4"/>
      <c r="K157" s="4"/>
    </row>
    <row r="158" spans="4:11" s="1" customFormat="1" ht="12.75">
      <c r="D158" s="4"/>
      <c r="E158" s="4"/>
      <c r="F158" s="11"/>
      <c r="G158" s="4"/>
      <c r="H158" s="4"/>
      <c r="I158" s="4"/>
      <c r="J158" s="4"/>
      <c r="K158" s="4"/>
    </row>
    <row r="159" spans="1:11" s="1" customFormat="1" ht="12.75">
      <c r="A159" s="2"/>
      <c r="D159" s="4"/>
      <c r="E159" s="4"/>
      <c r="F159" s="11"/>
      <c r="G159" s="4"/>
      <c r="H159" s="4"/>
      <c r="I159" s="4"/>
      <c r="J159" s="4"/>
      <c r="K159" s="4"/>
    </row>
    <row r="160" spans="4:11" s="1" customFormat="1" ht="12.75">
      <c r="D160" s="4"/>
      <c r="E160" s="4"/>
      <c r="F160" s="11"/>
      <c r="G160" s="4"/>
      <c r="H160" s="4"/>
      <c r="I160" s="4"/>
      <c r="J160" s="4"/>
      <c r="K160" s="4"/>
    </row>
    <row r="161" spans="4:11" s="1" customFormat="1" ht="12.75">
      <c r="D161" s="4"/>
      <c r="E161" s="4"/>
      <c r="F161" s="11"/>
      <c r="G161" s="4"/>
      <c r="H161" s="4"/>
      <c r="I161" s="4"/>
      <c r="J161" s="4"/>
      <c r="K161" s="4"/>
    </row>
    <row r="162" spans="4:11" s="1" customFormat="1" ht="12.75">
      <c r="D162" s="4"/>
      <c r="E162" s="4"/>
      <c r="F162" s="11"/>
      <c r="G162" s="4"/>
      <c r="H162" s="4"/>
      <c r="I162" s="4"/>
      <c r="J162" s="4"/>
      <c r="K162" s="4"/>
    </row>
    <row r="163" spans="4:11" s="1" customFormat="1" ht="12.75">
      <c r="D163" s="4"/>
      <c r="E163" s="4"/>
      <c r="F163" s="11"/>
      <c r="G163" s="4"/>
      <c r="H163" s="4"/>
      <c r="I163" s="4"/>
      <c r="J163" s="4"/>
      <c r="K163" s="4"/>
    </row>
    <row r="164" spans="4:11" s="1" customFormat="1" ht="12.75">
      <c r="D164" s="4"/>
      <c r="E164" s="4"/>
      <c r="F164" s="11"/>
      <c r="G164" s="4"/>
      <c r="H164" s="4"/>
      <c r="I164" s="4"/>
      <c r="J164" s="4"/>
      <c r="K164" s="4"/>
    </row>
    <row r="165" spans="4:11" s="1" customFormat="1" ht="12.75">
      <c r="D165" s="4"/>
      <c r="E165" s="4"/>
      <c r="F165" s="11"/>
      <c r="G165" s="4"/>
      <c r="H165" s="4"/>
      <c r="I165" s="4"/>
      <c r="J165" s="4"/>
      <c r="K165" s="4"/>
    </row>
    <row r="166" spans="4:11" s="1" customFormat="1" ht="12.75">
      <c r="D166" s="4"/>
      <c r="E166" s="4"/>
      <c r="F166" s="11"/>
      <c r="G166" s="4"/>
      <c r="H166" s="4"/>
      <c r="I166" s="4"/>
      <c r="J166" s="4"/>
      <c r="K166" s="4"/>
    </row>
    <row r="167" spans="4:11" s="1" customFormat="1" ht="12.75">
      <c r="D167" s="4"/>
      <c r="E167" s="4"/>
      <c r="F167" s="11"/>
      <c r="G167" s="4"/>
      <c r="H167" s="4"/>
      <c r="I167" s="4"/>
      <c r="J167" s="4"/>
      <c r="K167" s="4"/>
    </row>
    <row r="168" spans="4:11" s="1" customFormat="1" ht="12.75">
      <c r="D168" s="4"/>
      <c r="E168" s="4"/>
      <c r="F168" s="11"/>
      <c r="G168" s="4"/>
      <c r="H168" s="4"/>
      <c r="I168" s="4"/>
      <c r="J168" s="4"/>
      <c r="K168" s="4"/>
    </row>
    <row r="169" spans="4:11" s="1" customFormat="1" ht="12.75">
      <c r="D169" s="4"/>
      <c r="E169" s="4"/>
      <c r="F169" s="11"/>
      <c r="G169" s="4"/>
      <c r="H169" s="4"/>
      <c r="I169" s="4"/>
      <c r="J169" s="4"/>
      <c r="K169" s="4"/>
    </row>
    <row r="170" spans="4:11" s="1" customFormat="1" ht="12.75">
      <c r="D170" s="4"/>
      <c r="E170" s="4"/>
      <c r="F170" s="11"/>
      <c r="G170" s="4"/>
      <c r="H170" s="4"/>
      <c r="I170" s="4"/>
      <c r="J170" s="4"/>
      <c r="K170" s="4"/>
    </row>
    <row r="171" spans="4:11" s="1" customFormat="1" ht="12.75">
      <c r="D171" s="4"/>
      <c r="E171" s="4"/>
      <c r="F171" s="11"/>
      <c r="G171" s="4"/>
      <c r="H171" s="4"/>
      <c r="I171" s="4"/>
      <c r="J171" s="4"/>
      <c r="K171" s="4"/>
    </row>
    <row r="172" spans="4:11" s="1" customFormat="1" ht="12.75">
      <c r="D172" s="4"/>
      <c r="E172" s="4"/>
      <c r="F172" s="11"/>
      <c r="G172" s="4"/>
      <c r="H172" s="4"/>
      <c r="I172" s="4"/>
      <c r="J172" s="4"/>
      <c r="K172" s="4"/>
    </row>
    <row r="173" spans="4:11" s="1" customFormat="1" ht="12.75">
      <c r="D173" s="4"/>
      <c r="E173" s="4"/>
      <c r="F173" s="11"/>
      <c r="G173" s="4"/>
      <c r="H173" s="4"/>
      <c r="I173" s="4"/>
      <c r="J173" s="4"/>
      <c r="K173" s="4"/>
    </row>
    <row r="174" spans="4:11" s="1" customFormat="1" ht="12.75">
      <c r="D174" s="4"/>
      <c r="E174" s="4"/>
      <c r="F174" s="11"/>
      <c r="G174" s="4"/>
      <c r="H174" s="4"/>
      <c r="I174" s="4"/>
      <c r="J174" s="4"/>
      <c r="K174" s="4"/>
    </row>
    <row r="175" spans="4:11" s="1" customFormat="1" ht="12.75">
      <c r="D175" s="4"/>
      <c r="E175" s="4"/>
      <c r="F175" s="11"/>
      <c r="G175" s="4"/>
      <c r="H175" s="4"/>
      <c r="I175" s="4"/>
      <c r="J175" s="4"/>
      <c r="K175" s="4"/>
    </row>
    <row r="176" spans="4:11" s="1" customFormat="1" ht="12.75">
      <c r="D176" s="4"/>
      <c r="E176" s="4"/>
      <c r="F176" s="11"/>
      <c r="G176" s="4"/>
      <c r="H176" s="4"/>
      <c r="I176" s="4"/>
      <c r="J176" s="4"/>
      <c r="K176" s="4"/>
    </row>
    <row r="177" spans="4:11" s="1" customFormat="1" ht="12.75">
      <c r="D177" s="4"/>
      <c r="E177" s="4"/>
      <c r="F177" s="11"/>
      <c r="G177" s="4"/>
      <c r="H177" s="4"/>
      <c r="I177" s="4"/>
      <c r="J177" s="4"/>
      <c r="K177" s="4"/>
    </row>
    <row r="178" spans="4:11" s="1" customFormat="1" ht="12.75">
      <c r="D178" s="4"/>
      <c r="E178" s="4"/>
      <c r="F178" s="11"/>
      <c r="G178" s="4"/>
      <c r="H178" s="4"/>
      <c r="I178" s="4"/>
      <c r="J178" s="4"/>
      <c r="K178" s="4"/>
    </row>
    <row r="179" spans="4:11" s="1" customFormat="1" ht="12.75">
      <c r="D179" s="4"/>
      <c r="E179" s="4"/>
      <c r="F179" s="11"/>
      <c r="G179" s="4"/>
      <c r="H179" s="4"/>
      <c r="I179" s="4"/>
      <c r="J179" s="4"/>
      <c r="K179" s="4"/>
    </row>
    <row r="180" spans="4:11" s="1" customFormat="1" ht="12.75">
      <c r="D180" s="4"/>
      <c r="E180" s="4"/>
      <c r="F180" s="11"/>
      <c r="G180" s="4"/>
      <c r="H180" s="4"/>
      <c r="I180" s="4"/>
      <c r="J180" s="4"/>
      <c r="K180" s="4"/>
    </row>
    <row r="181" spans="4:11" s="1" customFormat="1" ht="12.75">
      <c r="D181" s="4"/>
      <c r="E181" s="4"/>
      <c r="F181" s="11"/>
      <c r="G181" s="4"/>
      <c r="H181" s="4"/>
      <c r="I181" s="4"/>
      <c r="J181" s="4"/>
      <c r="K181" s="4"/>
    </row>
    <row r="182" spans="4:11" s="1" customFormat="1" ht="12.75">
      <c r="D182" s="4"/>
      <c r="E182" s="4"/>
      <c r="F182" s="11"/>
      <c r="G182" s="4"/>
      <c r="H182" s="4"/>
      <c r="I182" s="4"/>
      <c r="J182" s="4"/>
      <c r="K182" s="4"/>
    </row>
    <row r="183" spans="4:11" s="1" customFormat="1" ht="12.75">
      <c r="D183" s="4"/>
      <c r="E183" s="4"/>
      <c r="F183" s="11"/>
      <c r="G183" s="4"/>
      <c r="H183" s="4"/>
      <c r="I183" s="4"/>
      <c r="J183" s="4"/>
      <c r="K183" s="4"/>
    </row>
    <row r="184" spans="4:11" s="1" customFormat="1" ht="12.75">
      <c r="D184" s="4"/>
      <c r="E184" s="4"/>
      <c r="F184" s="11"/>
      <c r="G184" s="4"/>
      <c r="H184" s="4"/>
      <c r="I184" s="4"/>
      <c r="J184" s="4"/>
      <c r="K184" s="4"/>
    </row>
    <row r="185" spans="4:11" s="1" customFormat="1" ht="12.75">
      <c r="D185" s="4"/>
      <c r="E185" s="4"/>
      <c r="F185" s="11"/>
      <c r="G185" s="4"/>
      <c r="H185" s="4"/>
      <c r="I185" s="4"/>
      <c r="J185" s="4"/>
      <c r="K185" s="4"/>
    </row>
    <row r="186" spans="4:11" s="1" customFormat="1" ht="12.75">
      <c r="D186" s="4"/>
      <c r="E186" s="4"/>
      <c r="F186" s="11"/>
      <c r="G186" s="4"/>
      <c r="H186" s="4"/>
      <c r="I186" s="4"/>
      <c r="J186" s="4"/>
      <c r="K186" s="4"/>
    </row>
    <row r="187" spans="4:11" s="1" customFormat="1" ht="12.75">
      <c r="D187" s="4"/>
      <c r="E187" s="4"/>
      <c r="F187" s="11"/>
      <c r="G187" s="4"/>
      <c r="H187" s="4"/>
      <c r="I187" s="4"/>
      <c r="J187" s="4"/>
      <c r="K187" s="4"/>
    </row>
    <row r="188" spans="4:11" s="1" customFormat="1" ht="12.75">
      <c r="D188" s="4"/>
      <c r="E188" s="4"/>
      <c r="F188" s="11"/>
      <c r="G188" s="4"/>
      <c r="H188" s="4"/>
      <c r="I188" s="4"/>
      <c r="J188" s="4"/>
      <c r="K188" s="4"/>
    </row>
    <row r="189" spans="4:11" s="1" customFormat="1" ht="12.75">
      <c r="D189" s="4"/>
      <c r="E189" s="4"/>
      <c r="F189" s="11"/>
      <c r="G189" s="4"/>
      <c r="H189" s="4"/>
      <c r="I189" s="4"/>
      <c r="J189" s="4"/>
      <c r="K189" s="4"/>
    </row>
    <row r="190" spans="4:11" s="1" customFormat="1" ht="12.75">
      <c r="D190" s="4"/>
      <c r="E190" s="4"/>
      <c r="F190" s="11"/>
      <c r="G190" s="4"/>
      <c r="H190" s="4"/>
      <c r="I190" s="4"/>
      <c r="J190" s="4"/>
      <c r="K190" s="4"/>
    </row>
    <row r="191" spans="4:11" s="1" customFormat="1" ht="12.75">
      <c r="D191" s="4"/>
      <c r="E191" s="4"/>
      <c r="F191" s="11"/>
      <c r="G191" s="4"/>
      <c r="H191" s="4"/>
      <c r="I191" s="4"/>
      <c r="J191" s="4"/>
      <c r="K191" s="4"/>
    </row>
    <row r="192" spans="4:11" s="1" customFormat="1" ht="12.75">
      <c r="D192" s="4"/>
      <c r="E192" s="4"/>
      <c r="F192" s="11"/>
      <c r="G192" s="4"/>
      <c r="H192" s="4"/>
      <c r="I192" s="4"/>
      <c r="J192" s="4"/>
      <c r="K192" s="4"/>
    </row>
    <row r="193" spans="4:11" s="1" customFormat="1" ht="12.75">
      <c r="D193" s="4"/>
      <c r="E193" s="4"/>
      <c r="F193" s="11"/>
      <c r="G193" s="4"/>
      <c r="H193" s="4"/>
      <c r="I193" s="4"/>
      <c r="J193" s="4"/>
      <c r="K193" s="4"/>
    </row>
    <row r="194" spans="4:11" s="1" customFormat="1" ht="12.75">
      <c r="D194" s="4"/>
      <c r="E194" s="4"/>
      <c r="F194" s="11"/>
      <c r="G194" s="4"/>
      <c r="H194" s="4"/>
      <c r="I194" s="4"/>
      <c r="J194" s="4"/>
      <c r="K194" s="4"/>
    </row>
    <row r="195" spans="4:11" s="1" customFormat="1" ht="12.75">
      <c r="D195" s="4"/>
      <c r="E195" s="4"/>
      <c r="F195" s="11"/>
      <c r="G195" s="4"/>
      <c r="H195" s="4"/>
      <c r="I195" s="4"/>
      <c r="J195" s="4"/>
      <c r="K195" s="4"/>
    </row>
    <row r="196" spans="4:11" s="1" customFormat="1" ht="12.75">
      <c r="D196" s="4"/>
      <c r="E196" s="4"/>
      <c r="F196" s="11"/>
      <c r="G196" s="4"/>
      <c r="H196" s="4"/>
      <c r="I196" s="4"/>
      <c r="J196" s="4"/>
      <c r="K196" s="4"/>
    </row>
    <row r="197" spans="4:11" s="1" customFormat="1" ht="12.75">
      <c r="D197" s="4"/>
      <c r="E197" s="4"/>
      <c r="F197" s="11"/>
      <c r="G197" s="4"/>
      <c r="H197" s="4"/>
      <c r="I197" s="4"/>
      <c r="J197" s="4"/>
      <c r="K197" s="4"/>
    </row>
    <row r="198" spans="4:11" s="1" customFormat="1" ht="12.75">
      <c r="D198" s="4"/>
      <c r="E198" s="4"/>
      <c r="F198" s="11"/>
      <c r="G198" s="4"/>
      <c r="H198" s="4"/>
      <c r="I198" s="4"/>
      <c r="J198" s="4"/>
      <c r="K198" s="4"/>
    </row>
    <row r="199" spans="4:11" s="1" customFormat="1" ht="12.75">
      <c r="D199" s="4"/>
      <c r="E199" s="4"/>
      <c r="F199" s="11"/>
      <c r="G199" s="4"/>
      <c r="H199" s="4"/>
      <c r="I199" s="4"/>
      <c r="J199" s="4"/>
      <c r="K199" s="4"/>
    </row>
    <row r="200" spans="4:11" s="1" customFormat="1" ht="12.75">
      <c r="D200" s="4"/>
      <c r="E200" s="4"/>
      <c r="F200" s="11"/>
      <c r="G200" s="4"/>
      <c r="H200" s="4"/>
      <c r="I200" s="4"/>
      <c r="J200" s="4"/>
      <c r="K200" s="4"/>
    </row>
    <row r="201" spans="4:11" s="1" customFormat="1" ht="12.75">
      <c r="D201" s="4"/>
      <c r="E201" s="4"/>
      <c r="F201" s="11"/>
      <c r="G201" s="4"/>
      <c r="H201" s="4"/>
      <c r="I201" s="4"/>
      <c r="J201" s="4"/>
      <c r="K201" s="4"/>
    </row>
    <row r="202" spans="4:11" s="1" customFormat="1" ht="12.75">
      <c r="D202" s="4"/>
      <c r="E202" s="4"/>
      <c r="F202" s="11"/>
      <c r="G202" s="4"/>
      <c r="H202" s="4"/>
      <c r="I202" s="4"/>
      <c r="J202" s="4"/>
      <c r="K202" s="4"/>
    </row>
    <row r="203" spans="4:11" s="1" customFormat="1" ht="12.75">
      <c r="D203" s="4"/>
      <c r="E203" s="4"/>
      <c r="F203" s="11"/>
      <c r="G203" s="4"/>
      <c r="H203" s="4"/>
      <c r="I203" s="4"/>
      <c r="J203" s="4"/>
      <c r="K203" s="4"/>
    </row>
    <row r="204" spans="4:11" s="1" customFormat="1" ht="12.75">
      <c r="D204" s="4"/>
      <c r="E204" s="4"/>
      <c r="F204" s="11"/>
      <c r="G204" s="4"/>
      <c r="H204" s="4"/>
      <c r="I204" s="4"/>
      <c r="J204" s="4"/>
      <c r="K204" s="4"/>
    </row>
    <row r="205" spans="4:11" s="1" customFormat="1" ht="12.75">
      <c r="D205" s="4"/>
      <c r="E205" s="4"/>
      <c r="F205" s="11"/>
      <c r="G205" s="4"/>
      <c r="H205" s="4"/>
      <c r="I205" s="4"/>
      <c r="J205" s="4"/>
      <c r="K205" s="4"/>
    </row>
    <row r="206" spans="4:11" s="1" customFormat="1" ht="12.75">
      <c r="D206" s="4"/>
      <c r="E206" s="4"/>
      <c r="F206" s="11"/>
      <c r="G206" s="4"/>
      <c r="H206" s="4"/>
      <c r="I206" s="4"/>
      <c r="J206" s="4"/>
      <c r="K206" s="4"/>
    </row>
    <row r="207" spans="4:11" s="1" customFormat="1" ht="12.75">
      <c r="D207" s="4"/>
      <c r="E207" s="4"/>
      <c r="F207" s="11"/>
      <c r="G207" s="4"/>
      <c r="H207" s="4"/>
      <c r="I207" s="4"/>
      <c r="J207" s="4"/>
      <c r="K207" s="4"/>
    </row>
    <row r="208" spans="4:11" s="1" customFormat="1" ht="12.75">
      <c r="D208" s="4"/>
      <c r="E208" s="4"/>
      <c r="F208" s="4"/>
      <c r="G208" s="4"/>
      <c r="H208" s="4"/>
      <c r="I208" s="4"/>
      <c r="J208" s="4"/>
      <c r="K208" s="4"/>
    </row>
    <row r="209" spans="4:11" s="1" customFormat="1" ht="12.75">
      <c r="D209" s="4"/>
      <c r="E209" s="4"/>
      <c r="F209" s="4"/>
      <c r="G209" s="4"/>
      <c r="H209" s="4"/>
      <c r="I209" s="4"/>
      <c r="J209" s="4"/>
      <c r="K209" s="4"/>
    </row>
    <row r="210" spans="4:11" s="1" customFormat="1" ht="12.75">
      <c r="D210" s="4"/>
      <c r="E210" s="4"/>
      <c r="F210" s="4"/>
      <c r="G210" s="4"/>
      <c r="H210" s="4"/>
      <c r="I210" s="4"/>
      <c r="J210" s="4"/>
      <c r="K210" s="4"/>
    </row>
    <row r="211" spans="4:11" s="1" customFormat="1" ht="12.75">
      <c r="D211" s="4"/>
      <c r="E211" s="4"/>
      <c r="F211" s="4"/>
      <c r="G211" s="4"/>
      <c r="H211" s="4"/>
      <c r="I211" s="4"/>
      <c r="J211" s="4"/>
      <c r="K211" s="4"/>
    </row>
    <row r="212" spans="4:11" s="1" customFormat="1" ht="12.75">
      <c r="D212" s="4"/>
      <c r="E212" s="4"/>
      <c r="F212" s="4"/>
      <c r="G212" s="4"/>
      <c r="H212" s="4"/>
      <c r="I212" s="4"/>
      <c r="J212" s="4"/>
      <c r="K212" s="4"/>
    </row>
    <row r="213" spans="4:11" s="1" customFormat="1" ht="12.75">
      <c r="D213" s="4"/>
      <c r="E213" s="4"/>
      <c r="F213" s="4"/>
      <c r="G213" s="4"/>
      <c r="H213" s="4"/>
      <c r="I213" s="4"/>
      <c r="J213" s="4"/>
      <c r="K213" s="4"/>
    </row>
    <row r="214" spans="4:11" s="1" customFormat="1" ht="12.75">
      <c r="D214" s="4"/>
      <c r="E214" s="4"/>
      <c r="F214" s="4"/>
      <c r="G214" s="4"/>
      <c r="H214" s="4"/>
      <c r="I214" s="4"/>
      <c r="J214" s="4"/>
      <c r="K214" s="4"/>
    </row>
    <row r="215" spans="4:11" s="1" customFormat="1" ht="12.75">
      <c r="D215" s="4"/>
      <c r="E215" s="4"/>
      <c r="F215" s="4"/>
      <c r="G215" s="4"/>
      <c r="H215" s="4"/>
      <c r="I215" s="4"/>
      <c r="J215" s="4"/>
      <c r="K215" s="4"/>
    </row>
    <row r="216" spans="4:11" s="1" customFormat="1" ht="12.75">
      <c r="D216" s="4"/>
      <c r="E216" s="4"/>
      <c r="F216" s="4"/>
      <c r="G216" s="4"/>
      <c r="H216" s="4"/>
      <c r="I216" s="4"/>
      <c r="J216" s="4"/>
      <c r="K216" s="4"/>
    </row>
    <row r="217" spans="4:11" s="1" customFormat="1" ht="12.75">
      <c r="D217" s="4"/>
      <c r="E217" s="4"/>
      <c r="F217" s="4"/>
      <c r="G217" s="4"/>
      <c r="H217" s="4"/>
      <c r="I217" s="4"/>
      <c r="J217" s="4"/>
      <c r="K217" s="4"/>
    </row>
    <row r="218" spans="4:11" s="1" customFormat="1" ht="12.75">
      <c r="D218" s="4"/>
      <c r="E218" s="4"/>
      <c r="F218" s="4"/>
      <c r="G218" s="4"/>
      <c r="H218" s="4"/>
      <c r="I218" s="4"/>
      <c r="J218" s="4"/>
      <c r="K218" s="4"/>
    </row>
    <row r="219" spans="4:11" s="1" customFormat="1" ht="12.75">
      <c r="D219" s="4"/>
      <c r="E219" s="4"/>
      <c r="F219" s="4"/>
      <c r="G219" s="4"/>
      <c r="H219" s="4"/>
      <c r="I219" s="4"/>
      <c r="J219" s="4"/>
      <c r="K219" s="4"/>
    </row>
    <row r="220" spans="4:11" s="1" customFormat="1" ht="12.75">
      <c r="D220" s="4"/>
      <c r="E220" s="4"/>
      <c r="F220" s="4"/>
      <c r="G220" s="4"/>
      <c r="H220" s="4"/>
      <c r="I220" s="4"/>
      <c r="J220" s="4"/>
      <c r="K220" s="4"/>
    </row>
    <row r="221" spans="4:11" s="1" customFormat="1" ht="12.75">
      <c r="D221" s="4"/>
      <c r="E221" s="4"/>
      <c r="F221" s="4"/>
      <c r="G221" s="4"/>
      <c r="H221" s="4"/>
      <c r="I221" s="4"/>
      <c r="J221" s="4"/>
      <c r="K221" s="4"/>
    </row>
    <row r="222" spans="4:11" s="1" customFormat="1" ht="12.75">
      <c r="D222" s="4"/>
      <c r="E222" s="4"/>
      <c r="F222" s="4"/>
      <c r="G222" s="4"/>
      <c r="H222" s="4"/>
      <c r="I222" s="4"/>
      <c r="J222" s="4"/>
      <c r="K222" s="4"/>
    </row>
    <row r="223" spans="4:11" s="1" customFormat="1" ht="12.75">
      <c r="D223" s="4"/>
      <c r="E223" s="4"/>
      <c r="F223" s="4"/>
      <c r="G223" s="4"/>
      <c r="H223" s="4"/>
      <c r="I223" s="4"/>
      <c r="J223" s="4"/>
      <c r="K223" s="4"/>
    </row>
    <row r="224" spans="4:11" s="1" customFormat="1" ht="12.75">
      <c r="D224" s="4"/>
      <c r="E224" s="4"/>
      <c r="F224" s="4"/>
      <c r="G224" s="4"/>
      <c r="H224" s="4"/>
      <c r="I224" s="4"/>
      <c r="J224" s="4"/>
      <c r="K224" s="4"/>
    </row>
    <row r="225" spans="4:11" s="1" customFormat="1" ht="12.75">
      <c r="D225" s="4"/>
      <c r="E225" s="4"/>
      <c r="F225" s="4"/>
      <c r="G225" s="4"/>
      <c r="H225" s="4"/>
      <c r="I225" s="4"/>
      <c r="J225" s="4"/>
      <c r="K225" s="4"/>
    </row>
    <row r="226" spans="4:11" s="1" customFormat="1" ht="12.75">
      <c r="D226" s="4"/>
      <c r="E226" s="4"/>
      <c r="F226" s="4"/>
      <c r="G226" s="4"/>
      <c r="H226" s="4"/>
      <c r="I226" s="4"/>
      <c r="J226" s="4"/>
      <c r="K226" s="4"/>
    </row>
    <row r="227" spans="4:11" s="1" customFormat="1" ht="12.75">
      <c r="D227" s="4"/>
      <c r="E227" s="4"/>
      <c r="F227" s="4"/>
      <c r="G227" s="4"/>
      <c r="H227" s="4"/>
      <c r="I227" s="4"/>
      <c r="J227" s="4"/>
      <c r="K227" s="4"/>
    </row>
    <row r="228" spans="4:11" s="1" customFormat="1" ht="12.75">
      <c r="D228" s="4"/>
      <c r="E228" s="4"/>
      <c r="F228" s="4"/>
      <c r="G228" s="4"/>
      <c r="H228" s="4"/>
      <c r="I228" s="4"/>
      <c r="J228" s="4"/>
      <c r="K228" s="4"/>
    </row>
    <row r="229" spans="4:11" s="1" customFormat="1" ht="12.75">
      <c r="D229" s="4"/>
      <c r="E229" s="4"/>
      <c r="F229" s="4"/>
      <c r="G229" s="4"/>
      <c r="H229" s="4"/>
      <c r="I229" s="4"/>
      <c r="J229" s="4"/>
      <c r="K229" s="4"/>
    </row>
    <row r="230" spans="4:11" s="1" customFormat="1" ht="12.75">
      <c r="D230" s="4"/>
      <c r="E230" s="4"/>
      <c r="F230" s="4"/>
      <c r="G230" s="4"/>
      <c r="H230" s="4"/>
      <c r="I230" s="4"/>
      <c r="J230" s="4"/>
      <c r="K230" s="4"/>
    </row>
    <row r="231" spans="4:11" s="1" customFormat="1" ht="12.75">
      <c r="D231" s="4"/>
      <c r="E231" s="4"/>
      <c r="F231" s="4"/>
      <c r="G231" s="4"/>
      <c r="H231" s="4"/>
      <c r="I231" s="4"/>
      <c r="J231" s="4"/>
      <c r="K231" s="4"/>
    </row>
    <row r="232" spans="4:11" s="1" customFormat="1" ht="12.75">
      <c r="D232" s="4"/>
      <c r="E232" s="4"/>
      <c r="F232" s="4"/>
      <c r="G232" s="4"/>
      <c r="H232" s="4"/>
      <c r="I232" s="4"/>
      <c r="J232" s="4"/>
      <c r="K232" s="4"/>
    </row>
    <row r="233" spans="4:11" s="1" customFormat="1" ht="12.75">
      <c r="D233" s="4"/>
      <c r="E233" s="4"/>
      <c r="F233" s="4"/>
      <c r="G233" s="4"/>
      <c r="H233" s="4"/>
      <c r="I233" s="4"/>
      <c r="J233" s="4"/>
      <c r="K233" s="4"/>
    </row>
    <row r="234" spans="4:11" s="1" customFormat="1" ht="12.75">
      <c r="D234" s="4"/>
      <c r="E234" s="4"/>
      <c r="F234" s="4"/>
      <c r="G234" s="4"/>
      <c r="H234" s="4"/>
      <c r="I234" s="4"/>
      <c r="J234" s="4"/>
      <c r="K234" s="4"/>
    </row>
    <row r="235" spans="4:11" s="1" customFormat="1" ht="12.75">
      <c r="D235" s="4"/>
      <c r="E235" s="4"/>
      <c r="F235" s="4"/>
      <c r="G235" s="4"/>
      <c r="H235" s="4"/>
      <c r="I235" s="4"/>
      <c r="J235" s="4"/>
      <c r="K235" s="4"/>
    </row>
    <row r="236" spans="4:11" s="1" customFormat="1" ht="12.75">
      <c r="D236" s="4"/>
      <c r="E236" s="4"/>
      <c r="F236" s="4"/>
      <c r="G236" s="4"/>
      <c r="H236" s="4"/>
      <c r="I236" s="4"/>
      <c r="J236" s="4"/>
      <c r="K236" s="4"/>
    </row>
    <row r="237" spans="4:11" s="1" customFormat="1" ht="12.75">
      <c r="D237" s="4"/>
      <c r="E237" s="4"/>
      <c r="F237" s="4"/>
      <c r="G237" s="4"/>
      <c r="H237" s="4"/>
      <c r="I237" s="4"/>
      <c r="J237" s="4"/>
      <c r="K237" s="4"/>
    </row>
    <row r="238" spans="4:11" s="1" customFormat="1" ht="12.75">
      <c r="D238" s="4"/>
      <c r="E238" s="4"/>
      <c r="F238" s="4"/>
      <c r="G238" s="4"/>
      <c r="H238" s="4"/>
      <c r="I238" s="4"/>
      <c r="J238" s="4"/>
      <c r="K238" s="4"/>
    </row>
    <row r="239" spans="4:11" s="1" customFormat="1" ht="12.75">
      <c r="D239" s="4"/>
      <c r="E239" s="4"/>
      <c r="F239" s="4"/>
      <c r="G239" s="4"/>
      <c r="H239" s="4"/>
      <c r="I239" s="4"/>
      <c r="J239" s="4"/>
      <c r="K239" s="4"/>
    </row>
    <row r="240" spans="4:11" s="1" customFormat="1" ht="12.75">
      <c r="D240" s="4"/>
      <c r="E240" s="4"/>
      <c r="F240" s="4"/>
      <c r="G240" s="4"/>
      <c r="H240" s="4"/>
      <c r="I240" s="4"/>
      <c r="J240" s="4"/>
      <c r="K240" s="4"/>
    </row>
    <row r="241" spans="4:11" s="1" customFormat="1" ht="12.75">
      <c r="D241" s="4"/>
      <c r="E241" s="4"/>
      <c r="F241" s="4"/>
      <c r="G241" s="4"/>
      <c r="H241" s="4"/>
      <c r="I241" s="4"/>
      <c r="J241" s="4"/>
      <c r="K241" s="4"/>
    </row>
    <row r="242" spans="4:11" s="1" customFormat="1" ht="12.75">
      <c r="D242" s="4"/>
      <c r="E242" s="4"/>
      <c r="F242" s="4"/>
      <c r="G242" s="4"/>
      <c r="H242" s="4"/>
      <c r="I242" s="4"/>
      <c r="J242" s="4"/>
      <c r="K242" s="4"/>
    </row>
    <row r="243" spans="4:11" s="1" customFormat="1" ht="12.75">
      <c r="D243" s="4"/>
      <c r="E243" s="4"/>
      <c r="F243" s="4"/>
      <c r="G243" s="4"/>
      <c r="H243" s="4"/>
      <c r="I243" s="4"/>
      <c r="J243" s="4"/>
      <c r="K243" s="4"/>
    </row>
    <row r="244" spans="4:11" s="1" customFormat="1" ht="12.75">
      <c r="D244" s="4"/>
      <c r="E244" s="4"/>
      <c r="F244" s="4"/>
      <c r="G244" s="4"/>
      <c r="H244" s="4"/>
      <c r="I244" s="4"/>
      <c r="J244" s="4"/>
      <c r="K244" s="4"/>
    </row>
    <row r="245" spans="4:11" s="1" customFormat="1" ht="12.75">
      <c r="D245" s="4"/>
      <c r="E245" s="4"/>
      <c r="F245" s="4"/>
      <c r="G245" s="4"/>
      <c r="H245" s="4"/>
      <c r="I245" s="4"/>
      <c r="J245" s="4"/>
      <c r="K245" s="4"/>
    </row>
    <row r="246" spans="4:11" s="1" customFormat="1" ht="12.75">
      <c r="D246" s="4"/>
      <c r="E246" s="4"/>
      <c r="F246" s="4"/>
      <c r="G246" s="4"/>
      <c r="H246" s="4"/>
      <c r="I246" s="4"/>
      <c r="J246" s="4"/>
      <c r="K246" s="4"/>
    </row>
    <row r="247" spans="4:11" s="1" customFormat="1" ht="12.75">
      <c r="D247" s="4"/>
      <c r="E247" s="4"/>
      <c r="F247" s="4"/>
      <c r="G247" s="4"/>
      <c r="H247" s="4"/>
      <c r="I247" s="4"/>
      <c r="J247" s="4"/>
      <c r="K247" s="4"/>
    </row>
    <row r="248" spans="4:11" s="1" customFormat="1" ht="12.75">
      <c r="D248" s="4"/>
      <c r="E248" s="4"/>
      <c r="F248" s="4"/>
      <c r="G248" s="4"/>
      <c r="H248" s="4"/>
      <c r="I248" s="4"/>
      <c r="J248" s="4"/>
      <c r="K248" s="4"/>
    </row>
    <row r="249" spans="4:11" s="1" customFormat="1" ht="12.75">
      <c r="D249" s="4"/>
      <c r="E249" s="4"/>
      <c r="F249" s="4"/>
      <c r="G249" s="4"/>
      <c r="H249" s="4"/>
      <c r="I249" s="4"/>
      <c r="J249" s="4"/>
      <c r="K249" s="4"/>
    </row>
    <row r="250" spans="4:11" s="1" customFormat="1" ht="12.75">
      <c r="D250" s="4"/>
      <c r="E250" s="4"/>
      <c r="F250" s="4"/>
      <c r="G250" s="4"/>
      <c r="H250" s="4"/>
      <c r="I250" s="4"/>
      <c r="J250" s="4"/>
      <c r="K250" s="4"/>
    </row>
    <row r="251" spans="4:11" s="1" customFormat="1" ht="12.75">
      <c r="D251" s="4"/>
      <c r="E251" s="4"/>
      <c r="F251" s="4"/>
      <c r="G251" s="4"/>
      <c r="H251" s="4"/>
      <c r="I251" s="4"/>
      <c r="J251" s="4"/>
      <c r="K251" s="4"/>
    </row>
    <row r="252" spans="4:11" s="1" customFormat="1" ht="12.75">
      <c r="D252" s="4"/>
      <c r="E252" s="4"/>
      <c r="F252" s="4"/>
      <c r="G252" s="4"/>
      <c r="H252" s="4"/>
      <c r="I252" s="4"/>
      <c r="J252" s="4"/>
      <c r="K252" s="4"/>
    </row>
    <row r="253" spans="4:11" s="1" customFormat="1" ht="12.75">
      <c r="D253" s="4"/>
      <c r="E253" s="4"/>
      <c r="F253" s="4"/>
      <c r="G253" s="4"/>
      <c r="H253" s="4"/>
      <c r="I253" s="4"/>
      <c r="J253" s="4"/>
      <c r="K253" s="4"/>
    </row>
    <row r="254" spans="4:11" s="1" customFormat="1" ht="12.75">
      <c r="D254" s="4"/>
      <c r="E254" s="4"/>
      <c r="F254" s="4"/>
      <c r="G254" s="4"/>
      <c r="H254" s="4"/>
      <c r="I254" s="4"/>
      <c r="J254" s="4"/>
      <c r="K254" s="4"/>
    </row>
    <row r="255" spans="4:11" s="1" customFormat="1" ht="12.75">
      <c r="D255" s="4"/>
      <c r="E255" s="4"/>
      <c r="F255" s="4"/>
      <c r="G255" s="4"/>
      <c r="H255" s="4"/>
      <c r="I255" s="4"/>
      <c r="J255" s="4"/>
      <c r="K255" s="4"/>
    </row>
    <row r="256" spans="4:11" s="1" customFormat="1" ht="12.75">
      <c r="D256" s="4"/>
      <c r="E256" s="4"/>
      <c r="F256" s="4"/>
      <c r="G256" s="4"/>
      <c r="H256" s="4"/>
      <c r="I256" s="4"/>
      <c r="J256" s="4"/>
      <c r="K256" s="4"/>
    </row>
    <row r="257" spans="4:11" s="1" customFormat="1" ht="12.75">
      <c r="D257" s="4"/>
      <c r="E257" s="4"/>
      <c r="F257" s="4"/>
      <c r="G257" s="4"/>
      <c r="H257" s="4"/>
      <c r="I257" s="4"/>
      <c r="J257" s="4"/>
      <c r="K257" s="4"/>
    </row>
    <row r="258" spans="4:11" s="1" customFormat="1" ht="12.75">
      <c r="D258" s="4"/>
      <c r="E258" s="4"/>
      <c r="F258" s="4"/>
      <c r="G258" s="4"/>
      <c r="H258" s="4"/>
      <c r="I258" s="4"/>
      <c r="J258" s="4"/>
      <c r="K258" s="4"/>
    </row>
    <row r="259" spans="4:11" s="1" customFormat="1" ht="12.75">
      <c r="D259" s="4"/>
      <c r="E259" s="4"/>
      <c r="F259" s="4"/>
      <c r="G259" s="4"/>
      <c r="H259" s="4"/>
      <c r="I259" s="4"/>
      <c r="J259" s="4"/>
      <c r="K259" s="4"/>
    </row>
    <row r="260" spans="4:11" s="1" customFormat="1" ht="12.75">
      <c r="D260" s="4"/>
      <c r="E260" s="4"/>
      <c r="F260" s="4"/>
      <c r="G260" s="4"/>
      <c r="H260" s="4"/>
      <c r="I260" s="4"/>
      <c r="J260" s="4"/>
      <c r="K260" s="4"/>
    </row>
    <row r="261" spans="4:11" s="1" customFormat="1" ht="12.75">
      <c r="D261" s="4"/>
      <c r="E261" s="4"/>
      <c r="F261" s="4"/>
      <c r="G261" s="4"/>
      <c r="H261" s="4"/>
      <c r="I261" s="4"/>
      <c r="J261" s="4"/>
      <c r="K261" s="4"/>
    </row>
    <row r="262" spans="4:11" s="1" customFormat="1" ht="12.75">
      <c r="D262" s="4"/>
      <c r="E262" s="4"/>
      <c r="F262" s="4"/>
      <c r="G262" s="4"/>
      <c r="H262" s="4"/>
      <c r="I262" s="4"/>
      <c r="J262" s="4"/>
      <c r="K262" s="4"/>
    </row>
    <row r="263" spans="4:11" s="1" customFormat="1" ht="12.75">
      <c r="D263" s="4"/>
      <c r="E263" s="4"/>
      <c r="F263" s="4"/>
      <c r="G263" s="4"/>
      <c r="H263" s="4"/>
      <c r="I263" s="4"/>
      <c r="J263" s="4"/>
      <c r="K263" s="4"/>
    </row>
    <row r="264" spans="4:11" ht="12.75">
      <c r="D264" s="4"/>
      <c r="E264" s="7"/>
      <c r="F264" s="7"/>
      <c r="G264" s="7"/>
      <c r="H264" s="7"/>
      <c r="I264" s="7"/>
      <c r="J264" s="7"/>
      <c r="K264" s="7"/>
    </row>
    <row r="265" spans="4:11" ht="12.75">
      <c r="D265" s="4"/>
      <c r="E265" s="7"/>
      <c r="F265" s="7"/>
      <c r="G265" s="7"/>
      <c r="H265" s="7"/>
      <c r="I265" s="7"/>
      <c r="J265" s="7"/>
      <c r="K265" s="7"/>
    </row>
    <row r="266" spans="4:11" ht="12.75">
      <c r="D266" s="4"/>
      <c r="E266" s="7"/>
      <c r="F266" s="7"/>
      <c r="G266" s="7"/>
      <c r="H266" s="7"/>
      <c r="I266" s="7"/>
      <c r="J266" s="7"/>
      <c r="K266" s="7"/>
    </row>
    <row r="267" spans="4:11" ht="12.75">
      <c r="D267" s="4"/>
      <c r="E267" s="7"/>
      <c r="F267" s="7"/>
      <c r="G267" s="7"/>
      <c r="H267" s="7"/>
      <c r="I267" s="7"/>
      <c r="J267" s="7"/>
      <c r="K267" s="7"/>
    </row>
    <row r="268" spans="4:11" ht="12.75">
      <c r="D268" s="4"/>
      <c r="E268" s="7"/>
      <c r="F268" s="7"/>
      <c r="G268" s="7"/>
      <c r="H268" s="7"/>
      <c r="I268" s="7"/>
      <c r="J268" s="7"/>
      <c r="K268" s="7"/>
    </row>
    <row r="269" spans="4:11" ht="12.75">
      <c r="D269" s="4"/>
      <c r="E269" s="7"/>
      <c r="F269" s="7"/>
      <c r="G269" s="7"/>
      <c r="H269" s="7"/>
      <c r="I269" s="7"/>
      <c r="J269" s="7"/>
      <c r="K269" s="7"/>
    </row>
    <row r="270" spans="4:11" ht="12.75">
      <c r="D270" s="4"/>
      <c r="E270" s="7"/>
      <c r="F270" s="7"/>
      <c r="G270" s="7"/>
      <c r="H270" s="7"/>
      <c r="I270" s="7"/>
      <c r="J270" s="7"/>
      <c r="K270" s="7"/>
    </row>
    <row r="271" spans="4:11" ht="12.75">
      <c r="D271" s="4"/>
      <c r="E271" s="7"/>
      <c r="F271" s="7"/>
      <c r="G271" s="7"/>
      <c r="H271" s="7"/>
      <c r="I271" s="7"/>
      <c r="J271" s="7"/>
      <c r="K271" s="7"/>
    </row>
    <row r="272" spans="4:11" ht="12.75">
      <c r="D272" s="4"/>
      <c r="E272" s="7"/>
      <c r="F272" s="7"/>
      <c r="G272" s="7"/>
      <c r="H272" s="7"/>
      <c r="I272" s="7"/>
      <c r="J272" s="7"/>
      <c r="K272" s="7"/>
    </row>
    <row r="273" spans="4:11" ht="12.75">
      <c r="D273" s="4"/>
      <c r="E273" s="7"/>
      <c r="F273" s="7"/>
      <c r="G273" s="7"/>
      <c r="H273" s="7"/>
      <c r="I273" s="7"/>
      <c r="J273" s="7"/>
      <c r="K273" s="7"/>
    </row>
    <row r="274" spans="4:11" ht="12.75">
      <c r="D274" s="4"/>
      <c r="E274" s="7"/>
      <c r="F274" s="7"/>
      <c r="G274" s="7"/>
      <c r="H274" s="7"/>
      <c r="I274" s="7"/>
      <c r="J274" s="7"/>
      <c r="K274" s="7"/>
    </row>
    <row r="275" spans="4:11" ht="12.75">
      <c r="D275" s="4"/>
      <c r="E275" s="7"/>
      <c r="F275" s="7"/>
      <c r="G275" s="7"/>
      <c r="H275" s="7"/>
      <c r="I275" s="7"/>
      <c r="J275" s="7"/>
      <c r="K275" s="7"/>
    </row>
    <row r="276" spans="4:11" ht="12.75">
      <c r="D276" s="4"/>
      <c r="E276" s="7"/>
      <c r="F276" s="7"/>
      <c r="G276" s="7"/>
      <c r="H276" s="7"/>
      <c r="I276" s="7"/>
      <c r="J276" s="7"/>
      <c r="K276" s="7"/>
    </row>
    <row r="277" spans="4:11" ht="12.75">
      <c r="D277" s="4"/>
      <c r="E277" s="7"/>
      <c r="F277" s="7"/>
      <c r="G277" s="7"/>
      <c r="H277" s="7"/>
      <c r="I277" s="7"/>
      <c r="J277" s="7"/>
      <c r="K277" s="7"/>
    </row>
    <row r="278" spans="4:11" ht="12.75">
      <c r="D278" s="4"/>
      <c r="E278" s="7"/>
      <c r="F278" s="7"/>
      <c r="G278" s="7"/>
      <c r="H278" s="7"/>
      <c r="I278" s="7"/>
      <c r="J278" s="7"/>
      <c r="K278" s="7"/>
    </row>
    <row r="279" spans="4:11" ht="12.75">
      <c r="D279" s="4"/>
      <c r="E279" s="7"/>
      <c r="F279" s="7"/>
      <c r="G279" s="7"/>
      <c r="H279" s="7"/>
      <c r="I279" s="7"/>
      <c r="J279" s="7"/>
      <c r="K279" s="7"/>
    </row>
    <row r="280" spans="4:11" ht="12.75">
      <c r="D280" s="4"/>
      <c r="E280" s="7"/>
      <c r="F280" s="7"/>
      <c r="G280" s="7"/>
      <c r="H280" s="7"/>
      <c r="I280" s="7"/>
      <c r="J280" s="7"/>
      <c r="K280" s="7"/>
    </row>
    <row r="281" spans="4:11" ht="12.75">
      <c r="D281" s="4"/>
      <c r="E281" s="7"/>
      <c r="F281" s="7"/>
      <c r="G281" s="7"/>
      <c r="H281" s="7"/>
      <c r="I281" s="7"/>
      <c r="J281" s="7"/>
      <c r="K281" s="7"/>
    </row>
    <row r="282" spans="4:11" ht="12.75">
      <c r="D282" s="4"/>
      <c r="E282" s="7"/>
      <c r="F282" s="7"/>
      <c r="G282" s="7"/>
      <c r="H282" s="7"/>
      <c r="I282" s="7"/>
      <c r="J282" s="7"/>
      <c r="K282" s="7"/>
    </row>
    <row r="283" spans="4:11" ht="12.75">
      <c r="D283" s="4"/>
      <c r="E283" s="7"/>
      <c r="F283" s="7"/>
      <c r="G283" s="7"/>
      <c r="H283" s="7"/>
      <c r="I283" s="7"/>
      <c r="J283" s="7"/>
      <c r="K283" s="7"/>
    </row>
    <row r="284" spans="4:11" ht="12.75">
      <c r="D284" s="4"/>
      <c r="E284" s="7"/>
      <c r="F284" s="7"/>
      <c r="G284" s="7"/>
      <c r="H284" s="7"/>
      <c r="I284" s="7"/>
      <c r="J284" s="7"/>
      <c r="K284" s="7"/>
    </row>
    <row r="285" spans="4:11" ht="12.75">
      <c r="D285" s="4"/>
      <c r="E285" s="7"/>
      <c r="F285" s="7"/>
      <c r="G285" s="7"/>
      <c r="H285" s="7"/>
      <c r="I285" s="7"/>
      <c r="J285" s="7"/>
      <c r="K285" s="7"/>
    </row>
    <row r="286" spans="4:11" ht="12.75">
      <c r="D286" s="4"/>
      <c r="E286" s="7"/>
      <c r="F286" s="7"/>
      <c r="G286" s="7"/>
      <c r="H286" s="7"/>
      <c r="I286" s="7"/>
      <c r="J286" s="7"/>
      <c r="K286" s="7"/>
    </row>
    <row r="287" spans="4:11" ht="12.75">
      <c r="D287" s="4"/>
      <c r="E287" s="7"/>
      <c r="F287" s="7"/>
      <c r="G287" s="7"/>
      <c r="H287" s="7"/>
      <c r="I287" s="7"/>
      <c r="J287" s="7"/>
      <c r="K287" s="7"/>
    </row>
    <row r="288" spans="4:11" ht="12.75">
      <c r="D288" s="4"/>
      <c r="E288" s="7"/>
      <c r="F288" s="7"/>
      <c r="G288" s="7"/>
      <c r="H288" s="7"/>
      <c r="I288" s="7"/>
      <c r="J288" s="7"/>
      <c r="K288" s="7"/>
    </row>
    <row r="289" spans="4:11" ht="12.75">
      <c r="D289" s="4"/>
      <c r="E289" s="7"/>
      <c r="F289" s="7"/>
      <c r="G289" s="7"/>
      <c r="H289" s="7"/>
      <c r="I289" s="7"/>
      <c r="J289" s="7"/>
      <c r="K289" s="7"/>
    </row>
    <row r="290" spans="4:11" ht="12.75">
      <c r="D290" s="4"/>
      <c r="E290" s="7"/>
      <c r="F290" s="7"/>
      <c r="G290" s="7"/>
      <c r="H290" s="7"/>
      <c r="I290" s="7"/>
      <c r="J290" s="7"/>
      <c r="K290" s="7"/>
    </row>
    <row r="291" spans="4:11" ht="12.75">
      <c r="D291" s="4"/>
      <c r="E291" s="7"/>
      <c r="F291" s="7"/>
      <c r="G291" s="7"/>
      <c r="H291" s="7"/>
      <c r="I291" s="7"/>
      <c r="J291" s="7"/>
      <c r="K291" s="7"/>
    </row>
    <row r="292" spans="4:11" ht="12.75">
      <c r="D292" s="4"/>
      <c r="E292" s="7"/>
      <c r="F292" s="7"/>
      <c r="G292" s="7"/>
      <c r="H292" s="7"/>
      <c r="I292" s="7"/>
      <c r="J292" s="7"/>
      <c r="K292" s="7"/>
    </row>
    <row r="293" spans="4:11" ht="12.75">
      <c r="D293" s="4"/>
      <c r="E293" s="7"/>
      <c r="F293" s="7"/>
      <c r="G293" s="7"/>
      <c r="H293" s="7"/>
      <c r="I293" s="7"/>
      <c r="J293" s="7"/>
      <c r="K293" s="7"/>
    </row>
    <row r="294" spans="4:11" ht="12.75">
      <c r="D294" s="4"/>
      <c r="E294" s="7"/>
      <c r="F294" s="7"/>
      <c r="G294" s="7"/>
      <c r="H294" s="7"/>
      <c r="I294" s="7"/>
      <c r="J294" s="7"/>
      <c r="K294" s="7"/>
    </row>
    <row r="295" spans="4:11" ht="12.75">
      <c r="D295" s="4"/>
      <c r="E295" s="7"/>
      <c r="F295" s="7"/>
      <c r="G295" s="7"/>
      <c r="H295" s="7"/>
      <c r="I295" s="7"/>
      <c r="J295" s="7"/>
      <c r="K295" s="7"/>
    </row>
    <row r="296" spans="4:11" ht="12.75">
      <c r="D296" s="4"/>
      <c r="E296" s="7"/>
      <c r="F296" s="7"/>
      <c r="G296" s="7"/>
      <c r="H296" s="7"/>
      <c r="I296" s="7"/>
      <c r="J296" s="7"/>
      <c r="K296" s="7"/>
    </row>
    <row r="297" spans="4:11" ht="12.75">
      <c r="D297" s="4"/>
      <c r="E297" s="7"/>
      <c r="F297" s="7"/>
      <c r="G297" s="7"/>
      <c r="H297" s="7"/>
      <c r="I297" s="7"/>
      <c r="J297" s="7"/>
      <c r="K297" s="7"/>
    </row>
    <row r="298" spans="4:11" ht="12.75">
      <c r="D298" s="4"/>
      <c r="E298" s="7"/>
      <c r="F298" s="7"/>
      <c r="G298" s="7"/>
      <c r="H298" s="7"/>
      <c r="I298" s="7"/>
      <c r="J298" s="7"/>
      <c r="K298" s="7"/>
    </row>
    <row r="299" spans="4:11" ht="12.75">
      <c r="D299" s="4"/>
      <c r="E299" s="7"/>
      <c r="F299" s="7"/>
      <c r="G299" s="7"/>
      <c r="H299" s="7"/>
      <c r="I299" s="7"/>
      <c r="J299" s="7"/>
      <c r="K299" s="7"/>
    </row>
    <row r="300" spans="4:11" ht="12.75">
      <c r="D300" s="4"/>
      <c r="E300" s="7"/>
      <c r="F300" s="7"/>
      <c r="G300" s="7"/>
      <c r="H300" s="7"/>
      <c r="I300" s="7"/>
      <c r="J300" s="7"/>
      <c r="K300" s="7"/>
    </row>
    <row r="301" spans="4:11" ht="12.75">
      <c r="D301" s="4"/>
      <c r="E301" s="7"/>
      <c r="F301" s="7"/>
      <c r="G301" s="7"/>
      <c r="H301" s="7"/>
      <c r="I301" s="7"/>
      <c r="J301" s="7"/>
      <c r="K301" s="7"/>
    </row>
    <row r="302" spans="4:11" ht="12.75">
      <c r="D302" s="4"/>
      <c r="E302" s="7"/>
      <c r="F302" s="7"/>
      <c r="G302" s="7"/>
      <c r="H302" s="7"/>
      <c r="I302" s="7"/>
      <c r="J302" s="7"/>
      <c r="K302" s="7"/>
    </row>
    <row r="303" spans="4:11" ht="12.75">
      <c r="D303" s="4"/>
      <c r="E303" s="7"/>
      <c r="F303" s="7"/>
      <c r="G303" s="7"/>
      <c r="H303" s="7"/>
      <c r="I303" s="7"/>
      <c r="J303" s="7"/>
      <c r="K303" s="7"/>
    </row>
    <row r="304" spans="4:11" ht="12.75">
      <c r="D304" s="4"/>
      <c r="E304" s="7"/>
      <c r="F304" s="7"/>
      <c r="G304" s="7"/>
      <c r="H304" s="7"/>
      <c r="I304" s="7"/>
      <c r="J304" s="7"/>
      <c r="K304" s="7"/>
    </row>
    <row r="305" spans="4:11" ht="12.75">
      <c r="D305" s="4"/>
      <c r="E305" s="7"/>
      <c r="F305" s="7"/>
      <c r="G305" s="7"/>
      <c r="H305" s="7"/>
      <c r="I305" s="7"/>
      <c r="J305" s="7"/>
      <c r="K305" s="7"/>
    </row>
    <row r="306" spans="4:11" ht="12.75">
      <c r="D306" s="4"/>
      <c r="E306" s="7"/>
      <c r="F306" s="7"/>
      <c r="G306" s="7"/>
      <c r="H306" s="7"/>
      <c r="I306" s="7"/>
      <c r="J306" s="7"/>
      <c r="K306" s="7"/>
    </row>
    <row r="307" spans="4:11" ht="12.75">
      <c r="D307" s="4"/>
      <c r="E307" s="7"/>
      <c r="F307" s="7"/>
      <c r="G307" s="7"/>
      <c r="H307" s="7"/>
      <c r="I307" s="7"/>
      <c r="J307" s="7"/>
      <c r="K307" s="7"/>
    </row>
    <row r="308" spans="4:11" ht="12.75">
      <c r="D308" s="4"/>
      <c r="E308" s="7"/>
      <c r="F308" s="7"/>
      <c r="G308" s="7"/>
      <c r="H308" s="7"/>
      <c r="I308" s="7"/>
      <c r="J308" s="7"/>
      <c r="K308" s="7"/>
    </row>
    <row r="309" spans="4:11" ht="12.75">
      <c r="D309" s="4"/>
      <c r="E309" s="7"/>
      <c r="F309" s="7"/>
      <c r="G309" s="7"/>
      <c r="H309" s="7"/>
      <c r="I309" s="7"/>
      <c r="J309" s="7"/>
      <c r="K309" s="7"/>
    </row>
    <row r="310" spans="4:11" ht="12.75">
      <c r="D310" s="4"/>
      <c r="E310" s="7"/>
      <c r="F310" s="7"/>
      <c r="G310" s="7"/>
      <c r="H310" s="7"/>
      <c r="I310" s="7"/>
      <c r="J310" s="7"/>
      <c r="K310" s="7"/>
    </row>
    <row r="311" spans="4:11" ht="12.75">
      <c r="D311" s="4"/>
      <c r="E311" s="7"/>
      <c r="F311" s="7"/>
      <c r="G311" s="7"/>
      <c r="H311" s="7"/>
      <c r="I311" s="7"/>
      <c r="J311" s="7"/>
      <c r="K311" s="7"/>
    </row>
    <row r="312" spans="4:11" ht="12.75">
      <c r="D312" s="4"/>
      <c r="E312" s="7"/>
      <c r="F312" s="7"/>
      <c r="G312" s="7"/>
      <c r="H312" s="7"/>
      <c r="I312" s="7"/>
      <c r="J312" s="7"/>
      <c r="K312" s="7"/>
    </row>
    <row r="313" spans="4:11" ht="12.75">
      <c r="D313" s="4"/>
      <c r="E313" s="7"/>
      <c r="F313" s="7"/>
      <c r="G313" s="7"/>
      <c r="H313" s="7"/>
      <c r="I313" s="7"/>
      <c r="J313" s="7"/>
      <c r="K313" s="7"/>
    </row>
    <row r="314" spans="4:11" ht="12.75">
      <c r="D314" s="4"/>
      <c r="E314" s="7"/>
      <c r="F314" s="7"/>
      <c r="G314" s="7"/>
      <c r="H314" s="7"/>
      <c r="I314" s="7"/>
      <c r="J314" s="7"/>
      <c r="K314" s="7"/>
    </row>
    <row r="315" spans="4:11" ht="12.75">
      <c r="D315" s="4"/>
      <c r="E315" s="7"/>
      <c r="F315" s="7"/>
      <c r="G315" s="7"/>
      <c r="H315" s="7"/>
      <c r="I315" s="7"/>
      <c r="J315" s="7"/>
      <c r="K315" s="7"/>
    </row>
    <row r="316" spans="4:11" ht="12.75">
      <c r="D316" s="4"/>
      <c r="E316" s="7"/>
      <c r="F316" s="7"/>
      <c r="G316" s="7"/>
      <c r="H316" s="7"/>
      <c r="I316" s="7"/>
      <c r="J316" s="7"/>
      <c r="K316" s="7"/>
    </row>
    <row r="317" spans="4:11" ht="12.75">
      <c r="D317" s="4"/>
      <c r="E317" s="7"/>
      <c r="F317" s="7"/>
      <c r="G317" s="7"/>
      <c r="H317" s="7"/>
      <c r="I317" s="7"/>
      <c r="J317" s="7"/>
      <c r="K317" s="7"/>
    </row>
    <row r="318" spans="4:11" ht="12.75">
      <c r="D318" s="4"/>
      <c r="E318" s="7"/>
      <c r="F318" s="7"/>
      <c r="G318" s="7"/>
      <c r="H318" s="7"/>
      <c r="I318" s="7"/>
      <c r="J318" s="7"/>
      <c r="K318" s="7"/>
    </row>
    <row r="319" spans="4:11" ht="12.75">
      <c r="D319" s="4"/>
      <c r="E319" s="7"/>
      <c r="F319" s="7"/>
      <c r="G319" s="7"/>
      <c r="H319" s="7"/>
      <c r="I319" s="7"/>
      <c r="J319" s="7"/>
      <c r="K319" s="7"/>
    </row>
    <row r="320" spans="4:11" ht="12.75">
      <c r="D320" s="4"/>
      <c r="E320" s="7"/>
      <c r="F320" s="7"/>
      <c r="G320" s="7"/>
      <c r="H320" s="7"/>
      <c r="I320" s="7"/>
      <c r="J320" s="7"/>
      <c r="K320" s="7"/>
    </row>
    <row r="321" spans="4:11" ht="12.75">
      <c r="D321" s="4"/>
      <c r="E321" s="7"/>
      <c r="F321" s="7"/>
      <c r="G321" s="7"/>
      <c r="H321" s="7"/>
      <c r="I321" s="7"/>
      <c r="J321" s="7"/>
      <c r="K321" s="7"/>
    </row>
    <row r="322" spans="4:11" ht="12.75">
      <c r="D322" s="4"/>
      <c r="E322" s="7"/>
      <c r="F322" s="7"/>
      <c r="G322" s="7"/>
      <c r="H322" s="7"/>
      <c r="I322" s="7"/>
      <c r="J322" s="7"/>
      <c r="K322" s="7"/>
    </row>
    <row r="323" spans="4:11" ht="12.75">
      <c r="D323" s="4"/>
      <c r="E323" s="7"/>
      <c r="F323" s="7"/>
      <c r="G323" s="7"/>
      <c r="H323" s="7"/>
      <c r="I323" s="7"/>
      <c r="J323" s="7"/>
      <c r="K323" s="7"/>
    </row>
    <row r="324" spans="4:11" ht="12.75">
      <c r="D324" s="4"/>
      <c r="E324" s="7"/>
      <c r="F324" s="7"/>
      <c r="G324" s="7"/>
      <c r="H324" s="7"/>
      <c r="I324" s="7"/>
      <c r="J324" s="7"/>
      <c r="K324" s="7"/>
    </row>
    <row r="325" spans="4:11" ht="12.75">
      <c r="D325" s="4"/>
      <c r="E325" s="7"/>
      <c r="F325" s="7"/>
      <c r="G325" s="7"/>
      <c r="H325" s="7"/>
      <c r="I325" s="7"/>
      <c r="J325" s="7"/>
      <c r="K325" s="7"/>
    </row>
    <row r="326" spans="4:11" ht="12.75">
      <c r="D326" s="4"/>
      <c r="E326" s="7"/>
      <c r="F326" s="7"/>
      <c r="G326" s="7"/>
      <c r="H326" s="7"/>
      <c r="I326" s="7"/>
      <c r="J326" s="7"/>
      <c r="K326" s="7"/>
    </row>
    <row r="327" spans="4:11" ht="12.75">
      <c r="D327" s="4"/>
      <c r="E327" s="7"/>
      <c r="F327" s="7"/>
      <c r="G327" s="7"/>
      <c r="H327" s="7"/>
      <c r="I327" s="7"/>
      <c r="J327" s="7"/>
      <c r="K327" s="7"/>
    </row>
    <row r="328" spans="4:11" ht="12.75">
      <c r="D328" s="4"/>
      <c r="E328" s="7"/>
      <c r="F328" s="7"/>
      <c r="G328" s="7"/>
      <c r="H328" s="7"/>
      <c r="I328" s="7"/>
      <c r="J328" s="7"/>
      <c r="K328" s="7"/>
    </row>
    <row r="329" spans="4:11" ht="12.75">
      <c r="D329" s="4"/>
      <c r="E329" s="7"/>
      <c r="F329" s="7"/>
      <c r="G329" s="7"/>
      <c r="H329" s="7"/>
      <c r="I329" s="7"/>
      <c r="J329" s="7"/>
      <c r="K329" s="7"/>
    </row>
    <row r="330" spans="4:11" ht="12.75">
      <c r="D330" s="4"/>
      <c r="E330" s="7"/>
      <c r="F330" s="7"/>
      <c r="G330" s="7"/>
      <c r="H330" s="7"/>
      <c r="I330" s="7"/>
      <c r="J330" s="7"/>
      <c r="K330" s="7"/>
    </row>
    <row r="331" spans="4:11" ht="12.75">
      <c r="D331" s="4"/>
      <c r="E331" s="7"/>
      <c r="F331" s="7"/>
      <c r="G331" s="7"/>
      <c r="H331" s="7"/>
      <c r="I331" s="7"/>
      <c r="J331" s="7"/>
      <c r="K331" s="7"/>
    </row>
    <row r="332" spans="4:11" ht="12.75">
      <c r="D332" s="4"/>
      <c r="E332" s="7"/>
      <c r="F332" s="7"/>
      <c r="G332" s="7"/>
      <c r="H332" s="7"/>
      <c r="I332" s="7"/>
      <c r="J332" s="7"/>
      <c r="K332" s="7"/>
    </row>
    <row r="333" spans="4:11" ht="12.75">
      <c r="D333" s="4"/>
      <c r="E333" s="7"/>
      <c r="F333" s="7"/>
      <c r="G333" s="7"/>
      <c r="H333" s="7"/>
      <c r="I333" s="7"/>
      <c r="J333" s="7"/>
      <c r="K333" s="7"/>
    </row>
    <row r="334" spans="4:11" ht="12.75">
      <c r="D334" s="4"/>
      <c r="E334" s="7"/>
      <c r="F334" s="7"/>
      <c r="G334" s="7"/>
      <c r="H334" s="7"/>
      <c r="I334" s="7"/>
      <c r="J334" s="7"/>
      <c r="K334" s="7"/>
    </row>
    <row r="335" spans="4:11" ht="12.75">
      <c r="D335" s="4"/>
      <c r="E335" s="7"/>
      <c r="F335" s="7"/>
      <c r="G335" s="7"/>
      <c r="H335" s="7"/>
      <c r="I335" s="7"/>
      <c r="J335" s="7"/>
      <c r="K335" s="7"/>
    </row>
    <row r="336" spans="4:11" ht="12.75">
      <c r="D336" s="4"/>
      <c r="E336" s="7"/>
      <c r="F336" s="7"/>
      <c r="G336" s="7"/>
      <c r="H336" s="7"/>
      <c r="I336" s="7"/>
      <c r="J336" s="7"/>
      <c r="K336" s="7"/>
    </row>
    <row r="337" spans="4:11" ht="12.75">
      <c r="D337" s="4"/>
      <c r="E337" s="7"/>
      <c r="F337" s="7"/>
      <c r="G337" s="7"/>
      <c r="H337" s="7"/>
      <c r="I337" s="7"/>
      <c r="J337" s="7"/>
      <c r="K337" s="7"/>
    </row>
    <row r="338" spans="4:11" ht="12.75">
      <c r="D338" s="4"/>
      <c r="E338" s="7"/>
      <c r="F338" s="7"/>
      <c r="G338" s="7"/>
      <c r="H338" s="7"/>
      <c r="I338" s="7"/>
      <c r="J338" s="7"/>
      <c r="K338" s="7"/>
    </row>
    <row r="339" spans="4:11" ht="12.75">
      <c r="D339" s="4"/>
      <c r="E339" s="7"/>
      <c r="F339" s="7"/>
      <c r="G339" s="7"/>
      <c r="H339" s="7"/>
      <c r="I339" s="7"/>
      <c r="J339" s="7"/>
      <c r="K339" s="7"/>
    </row>
    <row r="340" spans="4:11" ht="12.75">
      <c r="D340" s="4"/>
      <c r="E340" s="7"/>
      <c r="F340" s="7"/>
      <c r="G340" s="7"/>
      <c r="H340" s="7"/>
      <c r="I340" s="7"/>
      <c r="J340" s="7"/>
      <c r="K340" s="7"/>
    </row>
    <row r="341" spans="4:11" ht="12.75">
      <c r="D341" s="4"/>
      <c r="E341" s="7"/>
      <c r="F341" s="7"/>
      <c r="G341" s="7"/>
      <c r="H341" s="7"/>
      <c r="I341" s="7"/>
      <c r="J341" s="7"/>
      <c r="K341" s="7"/>
    </row>
    <row r="342" spans="4:11" ht="12.75">
      <c r="D342" s="4"/>
      <c r="E342" s="7"/>
      <c r="F342" s="7"/>
      <c r="G342" s="7"/>
      <c r="H342" s="7"/>
      <c r="I342" s="7"/>
      <c r="J342" s="7"/>
      <c r="K342" s="7"/>
    </row>
    <row r="343" spans="4:11" ht="12.75">
      <c r="D343" s="4"/>
      <c r="E343" s="7"/>
      <c r="F343" s="7"/>
      <c r="G343" s="7"/>
      <c r="H343" s="7"/>
      <c r="I343" s="7"/>
      <c r="J343" s="7"/>
      <c r="K343" s="7"/>
    </row>
    <row r="344" spans="4:11" ht="12.75">
      <c r="D344" s="4"/>
      <c r="E344" s="7"/>
      <c r="F344" s="7"/>
      <c r="G344" s="7"/>
      <c r="H344" s="7"/>
      <c r="I344" s="7"/>
      <c r="J344" s="7"/>
      <c r="K344" s="7"/>
    </row>
    <row r="345" spans="4:11" ht="12.75">
      <c r="D345" s="4"/>
      <c r="E345" s="7"/>
      <c r="F345" s="7"/>
      <c r="G345" s="7"/>
      <c r="H345" s="7"/>
      <c r="I345" s="7"/>
      <c r="J345" s="7"/>
      <c r="K345" s="7"/>
    </row>
    <row r="346" spans="4:11" ht="12.75">
      <c r="D346" s="4"/>
      <c r="E346" s="7"/>
      <c r="F346" s="7"/>
      <c r="G346" s="7"/>
      <c r="H346" s="7"/>
      <c r="I346" s="7"/>
      <c r="J346" s="7"/>
      <c r="K346" s="7"/>
    </row>
    <row r="347" spans="4:11" ht="12.75">
      <c r="D347" s="4"/>
      <c r="E347" s="7"/>
      <c r="F347" s="7"/>
      <c r="G347" s="7"/>
      <c r="H347" s="7"/>
      <c r="I347" s="7"/>
      <c r="J347" s="7"/>
      <c r="K347" s="7"/>
    </row>
    <row r="348" spans="4:11" ht="12.75">
      <c r="D348" s="4"/>
      <c r="E348" s="7"/>
      <c r="F348" s="7"/>
      <c r="G348" s="7"/>
      <c r="H348" s="7"/>
      <c r="I348" s="7"/>
      <c r="J348" s="7"/>
      <c r="K348" s="7"/>
    </row>
    <row r="349" spans="4:11" ht="12.75">
      <c r="D349" s="4"/>
      <c r="E349" s="7"/>
      <c r="F349" s="7"/>
      <c r="G349" s="7"/>
      <c r="H349" s="7"/>
      <c r="I349" s="7"/>
      <c r="J349" s="7"/>
      <c r="K349" s="7"/>
    </row>
    <row r="350" spans="4:11" ht="12.75">
      <c r="D350" s="4"/>
      <c r="E350" s="7"/>
      <c r="F350" s="7"/>
      <c r="G350" s="7"/>
      <c r="H350" s="7"/>
      <c r="I350" s="7"/>
      <c r="J350" s="7"/>
      <c r="K350" s="7"/>
    </row>
    <row r="351" spans="4:11" ht="12.75">
      <c r="D351" s="4"/>
      <c r="E351" s="7"/>
      <c r="F351" s="7"/>
      <c r="G351" s="7"/>
      <c r="H351" s="7"/>
      <c r="I351" s="7"/>
      <c r="J351" s="7"/>
      <c r="K351" s="7"/>
    </row>
    <row r="352" spans="4:11" ht="12.75">
      <c r="D352" s="4"/>
      <c r="E352" s="7"/>
      <c r="F352" s="7"/>
      <c r="G352" s="7"/>
      <c r="H352" s="7"/>
      <c r="I352" s="7"/>
      <c r="J352" s="7"/>
      <c r="K352" s="7"/>
    </row>
    <row r="353" spans="4:11" ht="12.75">
      <c r="D353" s="4"/>
      <c r="E353" s="7"/>
      <c r="F353" s="7"/>
      <c r="G353" s="7"/>
      <c r="H353" s="7"/>
      <c r="I353" s="7"/>
      <c r="J353" s="7"/>
      <c r="K353" s="7"/>
    </row>
    <row r="354" spans="4:11" ht="12.75">
      <c r="D354" s="4"/>
      <c r="E354" s="7"/>
      <c r="F354" s="7"/>
      <c r="G354" s="7"/>
      <c r="H354" s="7"/>
      <c r="I354" s="7"/>
      <c r="J354" s="7"/>
      <c r="K354" s="7"/>
    </row>
    <row r="355" spans="4:11" ht="12.75">
      <c r="D355" s="4"/>
      <c r="E355" s="7"/>
      <c r="F355" s="7"/>
      <c r="G355" s="7"/>
      <c r="H355" s="7"/>
      <c r="I355" s="7"/>
      <c r="J355" s="7"/>
      <c r="K355" s="7"/>
    </row>
    <row r="356" spans="4:11" ht="12.75">
      <c r="D356" s="4"/>
      <c r="E356" s="7"/>
      <c r="F356" s="7"/>
      <c r="G356" s="7"/>
      <c r="H356" s="7"/>
      <c r="I356" s="7"/>
      <c r="J356" s="7"/>
      <c r="K356" s="7"/>
    </row>
    <row r="357" spans="4:11" ht="12.75">
      <c r="D357" s="4"/>
      <c r="E357" s="7"/>
      <c r="F357" s="7"/>
      <c r="G357" s="7"/>
      <c r="H357" s="7"/>
      <c r="I357" s="7"/>
      <c r="J357" s="7"/>
      <c r="K357" s="7"/>
    </row>
    <row r="358" spans="4:11" ht="12.75">
      <c r="D358" s="4"/>
      <c r="E358" s="7"/>
      <c r="F358" s="7"/>
      <c r="G358" s="7"/>
      <c r="H358" s="7"/>
      <c r="I358" s="7"/>
      <c r="J358" s="7"/>
      <c r="K358" s="7"/>
    </row>
    <row r="359" spans="4:11" ht="12.75">
      <c r="D359" s="4"/>
      <c r="E359" s="7"/>
      <c r="F359" s="7"/>
      <c r="G359" s="7"/>
      <c r="H359" s="7"/>
      <c r="I359" s="7"/>
      <c r="J359" s="7"/>
      <c r="K359" s="7"/>
    </row>
    <row r="360" spans="4:11" ht="12.75">
      <c r="D360" s="4"/>
      <c r="E360" s="7"/>
      <c r="F360" s="7"/>
      <c r="G360" s="7"/>
      <c r="H360" s="7"/>
      <c r="I360" s="7"/>
      <c r="J360" s="7"/>
      <c r="K360" s="7"/>
    </row>
    <row r="361" spans="4:11" ht="12.75">
      <c r="D361" s="4"/>
      <c r="E361" s="7"/>
      <c r="F361" s="7"/>
      <c r="G361" s="7"/>
      <c r="H361" s="7"/>
      <c r="I361" s="7"/>
      <c r="J361" s="7"/>
      <c r="K361" s="7"/>
    </row>
    <row r="362" spans="4:11" ht="12.75">
      <c r="D362" s="4"/>
      <c r="E362" s="7"/>
      <c r="F362" s="7"/>
      <c r="G362" s="7"/>
      <c r="H362" s="7"/>
      <c r="I362" s="7"/>
      <c r="J362" s="7"/>
      <c r="K362" s="7"/>
    </row>
    <row r="363" spans="4:11" ht="12.75">
      <c r="D363" s="4"/>
      <c r="E363" s="7"/>
      <c r="F363" s="7"/>
      <c r="G363" s="7"/>
      <c r="H363" s="7"/>
      <c r="I363" s="7"/>
      <c r="J363" s="7"/>
      <c r="K363" s="7"/>
    </row>
    <row r="364" spans="4:11" ht="12.75">
      <c r="D364" s="4"/>
      <c r="E364" s="7"/>
      <c r="F364" s="7"/>
      <c r="G364" s="7"/>
      <c r="H364" s="7"/>
      <c r="I364" s="7"/>
      <c r="J364" s="7"/>
      <c r="K364" s="7"/>
    </row>
    <row r="365" spans="4:11" ht="12.75">
      <c r="D365" s="4"/>
      <c r="E365" s="7"/>
      <c r="F365" s="7"/>
      <c r="G365" s="7"/>
      <c r="H365" s="7"/>
      <c r="I365" s="7"/>
      <c r="J365" s="7"/>
      <c r="K365" s="7"/>
    </row>
    <row r="366" spans="4:11" ht="12.75">
      <c r="D366" s="4"/>
      <c r="E366" s="7"/>
      <c r="F366" s="7"/>
      <c r="G366" s="7"/>
      <c r="H366" s="7"/>
      <c r="I366" s="7"/>
      <c r="J366" s="7"/>
      <c r="K366" s="7"/>
    </row>
    <row r="367" spans="4:11" ht="12.75">
      <c r="D367" s="4"/>
      <c r="E367" s="7"/>
      <c r="F367" s="7"/>
      <c r="G367" s="7"/>
      <c r="H367" s="7"/>
      <c r="I367" s="7"/>
      <c r="J367" s="7"/>
      <c r="K367" s="7"/>
    </row>
    <row r="368" spans="4:11" ht="12.75">
      <c r="D368" s="4"/>
      <c r="E368" s="7"/>
      <c r="F368" s="7"/>
      <c r="G368" s="7"/>
      <c r="H368" s="7"/>
      <c r="I368" s="7"/>
      <c r="J368" s="7"/>
      <c r="K368" s="7"/>
    </row>
    <row r="369" spans="4:11" ht="12.75">
      <c r="D369" s="4"/>
      <c r="E369" s="7"/>
      <c r="F369" s="7"/>
      <c r="G369" s="7"/>
      <c r="H369" s="7"/>
      <c r="I369" s="7"/>
      <c r="J369" s="7"/>
      <c r="K369" s="7"/>
    </row>
    <row r="370" spans="4:11" ht="12.75">
      <c r="D370" s="4"/>
      <c r="E370" s="7"/>
      <c r="F370" s="7"/>
      <c r="G370" s="7"/>
      <c r="H370" s="7"/>
      <c r="I370" s="7"/>
      <c r="J370" s="7"/>
      <c r="K370" s="7"/>
    </row>
    <row r="371" spans="4:11" ht="12.75">
      <c r="D371" s="4"/>
      <c r="E371" s="7"/>
      <c r="F371" s="7"/>
      <c r="G371" s="7"/>
      <c r="H371" s="7"/>
      <c r="I371" s="7"/>
      <c r="J371" s="7"/>
      <c r="K371" s="7"/>
    </row>
    <row r="372" spans="4:11" ht="12.75">
      <c r="D372" s="4"/>
      <c r="E372" s="7"/>
      <c r="F372" s="7"/>
      <c r="G372" s="7"/>
      <c r="H372" s="7"/>
      <c r="I372" s="7"/>
      <c r="J372" s="7"/>
      <c r="K372" s="7"/>
    </row>
    <row r="373" spans="4:11" ht="12.75">
      <c r="D373" s="4"/>
      <c r="E373" s="7"/>
      <c r="F373" s="7"/>
      <c r="G373" s="7"/>
      <c r="H373" s="7"/>
      <c r="I373" s="7"/>
      <c r="J373" s="7"/>
      <c r="K373" s="7"/>
    </row>
    <row r="374" spans="4:11" ht="12.75">
      <c r="D374" s="4"/>
      <c r="E374" s="7"/>
      <c r="F374" s="7"/>
      <c r="G374" s="7"/>
      <c r="H374" s="7"/>
      <c r="I374" s="7"/>
      <c r="J374" s="7"/>
      <c r="K374" s="7"/>
    </row>
    <row r="375" spans="4:11" ht="12.75">
      <c r="D375" s="4"/>
      <c r="E375" s="7"/>
      <c r="F375" s="7"/>
      <c r="G375" s="7"/>
      <c r="H375" s="7"/>
      <c r="I375" s="7"/>
      <c r="J375" s="7"/>
      <c r="K375" s="7"/>
    </row>
    <row r="376" spans="4:11" ht="12.75">
      <c r="D376" s="4"/>
      <c r="E376" s="7"/>
      <c r="F376" s="7"/>
      <c r="G376" s="7"/>
      <c r="H376" s="7"/>
      <c r="I376" s="7"/>
      <c r="J376" s="7"/>
      <c r="K376" s="7"/>
    </row>
    <row r="377" spans="4:11" ht="12.75">
      <c r="D377" s="4"/>
      <c r="E377" s="7"/>
      <c r="F377" s="7"/>
      <c r="G377" s="7"/>
      <c r="H377" s="7"/>
      <c r="I377" s="7"/>
      <c r="J377" s="7"/>
      <c r="K377" s="7"/>
    </row>
    <row r="378" spans="4:11" ht="12.75">
      <c r="D378" s="4"/>
      <c r="E378" s="7"/>
      <c r="F378" s="7"/>
      <c r="G378" s="7"/>
      <c r="H378" s="7"/>
      <c r="I378" s="7"/>
      <c r="J378" s="7"/>
      <c r="K378" s="7"/>
    </row>
    <row r="379" spans="4:11" ht="12.75">
      <c r="D379" s="4"/>
      <c r="E379" s="7"/>
      <c r="F379" s="7"/>
      <c r="G379" s="7"/>
      <c r="H379" s="7"/>
      <c r="I379" s="7"/>
      <c r="J379" s="7"/>
      <c r="K379" s="7"/>
    </row>
    <row r="380" spans="4:11" ht="12.75">
      <c r="D380" s="4"/>
      <c r="E380" s="7"/>
      <c r="F380" s="7"/>
      <c r="G380" s="7"/>
      <c r="H380" s="7"/>
      <c r="I380" s="7"/>
      <c r="J380" s="7"/>
      <c r="K380" s="7"/>
    </row>
    <row r="381" spans="4:11" ht="12.75">
      <c r="D381" s="4"/>
      <c r="E381" s="7"/>
      <c r="F381" s="7"/>
      <c r="G381" s="7"/>
      <c r="H381" s="7"/>
      <c r="I381" s="7"/>
      <c r="J381" s="7"/>
      <c r="K381" s="7"/>
    </row>
    <row r="382" spans="4:11" ht="12.75">
      <c r="D382" s="4"/>
      <c r="E382" s="7"/>
      <c r="F382" s="7"/>
      <c r="G382" s="7"/>
      <c r="H382" s="7"/>
      <c r="I382" s="7"/>
      <c r="J382" s="7"/>
      <c r="K382" s="7"/>
    </row>
    <row r="383" spans="4:11" ht="12.75">
      <c r="D383" s="4"/>
      <c r="E383" s="7"/>
      <c r="F383" s="7"/>
      <c r="G383" s="7"/>
      <c r="H383" s="7"/>
      <c r="I383" s="7"/>
      <c r="J383" s="7"/>
      <c r="K383" s="7"/>
    </row>
    <row r="384" spans="4:11" ht="12.75">
      <c r="D384" s="4"/>
      <c r="E384" s="7"/>
      <c r="F384" s="7"/>
      <c r="G384" s="7"/>
      <c r="H384" s="7"/>
      <c r="I384" s="7"/>
      <c r="J384" s="7"/>
      <c r="K384" s="7"/>
    </row>
    <row r="385" spans="4:11" ht="12.75">
      <c r="D385" s="4"/>
      <c r="E385" s="7"/>
      <c r="F385" s="7"/>
      <c r="G385" s="7"/>
      <c r="H385" s="7"/>
      <c r="I385" s="7"/>
      <c r="J385" s="7"/>
      <c r="K385" s="7"/>
    </row>
    <row r="386" spans="4:11" ht="12.75">
      <c r="D386" s="4"/>
      <c r="E386" s="7"/>
      <c r="F386" s="7"/>
      <c r="G386" s="7"/>
      <c r="H386" s="7"/>
      <c r="I386" s="7"/>
      <c r="J386" s="7"/>
      <c r="K386" s="7"/>
    </row>
    <row r="387" spans="4:11" ht="12.75">
      <c r="D387" s="4"/>
      <c r="E387" s="7"/>
      <c r="F387" s="7"/>
      <c r="G387" s="7"/>
      <c r="H387" s="7"/>
      <c r="I387" s="7"/>
      <c r="J387" s="7"/>
      <c r="K387" s="7"/>
    </row>
    <row r="388" spans="4:11" ht="12.75">
      <c r="D388" s="4"/>
      <c r="E388" s="7"/>
      <c r="F388" s="7"/>
      <c r="G388" s="7"/>
      <c r="H388" s="7"/>
      <c r="I388" s="7"/>
      <c r="J388" s="7"/>
      <c r="K388" s="7"/>
    </row>
    <row r="389" spans="4:11" ht="12.75">
      <c r="D389" s="4"/>
      <c r="E389" s="7"/>
      <c r="F389" s="7"/>
      <c r="G389" s="7"/>
      <c r="H389" s="7"/>
      <c r="I389" s="7"/>
      <c r="J389" s="7"/>
      <c r="K389" s="7"/>
    </row>
    <row r="390" spans="4:11" ht="12.75">
      <c r="D390" s="4"/>
      <c r="E390" s="7"/>
      <c r="F390" s="7"/>
      <c r="G390" s="7"/>
      <c r="H390" s="7"/>
      <c r="I390" s="7"/>
      <c r="J390" s="7"/>
      <c r="K390" s="7"/>
    </row>
    <row r="391" spans="4:11" ht="12.75">
      <c r="D391" s="4"/>
      <c r="E391" s="7"/>
      <c r="F391" s="7"/>
      <c r="G391" s="7"/>
      <c r="H391" s="7"/>
      <c r="I391" s="7"/>
      <c r="J391" s="7"/>
      <c r="K391" s="7"/>
    </row>
    <row r="392" spans="4:11" ht="12.75">
      <c r="D392" s="4"/>
      <c r="E392" s="7"/>
      <c r="F392" s="7"/>
      <c r="G392" s="7"/>
      <c r="H392" s="7"/>
      <c r="I392" s="7"/>
      <c r="J392" s="7"/>
      <c r="K392" s="7"/>
    </row>
    <row r="393" spans="4:11" ht="12.75">
      <c r="D393" s="4"/>
      <c r="E393" s="7"/>
      <c r="F393" s="7"/>
      <c r="G393" s="7"/>
      <c r="H393" s="7"/>
      <c r="I393" s="7"/>
      <c r="J393" s="7"/>
      <c r="K393" s="7"/>
    </row>
    <row r="394" spans="4:11" ht="12.75">
      <c r="D394" s="4"/>
      <c r="E394" s="7"/>
      <c r="F394" s="7"/>
      <c r="G394" s="7"/>
      <c r="H394" s="7"/>
      <c r="I394" s="7"/>
      <c r="J394" s="7"/>
      <c r="K394" s="7"/>
    </row>
    <row r="395" spans="4:11" ht="12.75">
      <c r="D395" s="4"/>
      <c r="E395" s="7"/>
      <c r="F395" s="7"/>
      <c r="G395" s="7"/>
      <c r="H395" s="7"/>
      <c r="I395" s="7"/>
      <c r="J395" s="7"/>
      <c r="K395" s="7"/>
    </row>
    <row r="396" spans="4:11" ht="12.75">
      <c r="D396" s="4"/>
      <c r="E396" s="7"/>
      <c r="F396" s="7"/>
      <c r="G396" s="7"/>
      <c r="H396" s="7"/>
      <c r="I396" s="7"/>
      <c r="J396" s="7"/>
      <c r="K396" s="7"/>
    </row>
    <row r="397" spans="4:11" ht="12.75">
      <c r="D397" s="4"/>
      <c r="E397" s="7"/>
      <c r="F397" s="7"/>
      <c r="G397" s="7"/>
      <c r="H397" s="7"/>
      <c r="I397" s="7"/>
      <c r="J397" s="7"/>
      <c r="K397" s="7"/>
    </row>
    <row r="398" spans="4:11" ht="12.75">
      <c r="D398" s="4"/>
      <c r="E398" s="7"/>
      <c r="F398" s="7"/>
      <c r="G398" s="7"/>
      <c r="H398" s="7"/>
      <c r="I398" s="7"/>
      <c r="J398" s="7"/>
      <c r="K398" s="7"/>
    </row>
    <row r="399" spans="4:11" ht="12.75">
      <c r="D399" s="4"/>
      <c r="E399" s="7"/>
      <c r="F399" s="7"/>
      <c r="G399" s="7"/>
      <c r="H399" s="7"/>
      <c r="I399" s="7"/>
      <c r="J399" s="7"/>
      <c r="K399" s="7"/>
    </row>
    <row r="400" spans="4:11" ht="12.75">
      <c r="D400" s="4"/>
      <c r="E400" s="7"/>
      <c r="F400" s="7"/>
      <c r="G400" s="7"/>
      <c r="H400" s="7"/>
      <c r="I400" s="7"/>
      <c r="J400" s="7"/>
      <c r="K400" s="7"/>
    </row>
    <row r="401" spans="4:11" ht="12.75">
      <c r="D401" s="4"/>
      <c r="E401" s="7"/>
      <c r="F401" s="7"/>
      <c r="G401" s="7"/>
      <c r="H401" s="7"/>
      <c r="I401" s="7"/>
      <c r="J401" s="7"/>
      <c r="K401" s="7"/>
    </row>
    <row r="402" spans="4:11" ht="12.75">
      <c r="D402" s="4"/>
      <c r="E402" s="7"/>
      <c r="F402" s="7"/>
      <c r="G402" s="7"/>
      <c r="H402" s="7"/>
      <c r="I402" s="7"/>
      <c r="J402" s="7"/>
      <c r="K402" s="7"/>
    </row>
    <row r="403" spans="4:11" ht="12.75">
      <c r="D403" s="4"/>
      <c r="E403" s="7"/>
      <c r="F403" s="7"/>
      <c r="G403" s="7"/>
      <c r="H403" s="7"/>
      <c r="I403" s="7"/>
      <c r="J403" s="7"/>
      <c r="K403" s="7"/>
    </row>
    <row r="404" spans="4:11" ht="12.75">
      <c r="D404" s="4"/>
      <c r="E404" s="7"/>
      <c r="F404" s="7"/>
      <c r="G404" s="7"/>
      <c r="H404" s="7"/>
      <c r="I404" s="7"/>
      <c r="J404" s="7"/>
      <c r="K404" s="7"/>
    </row>
    <row r="405" spans="4:11" ht="12.75">
      <c r="D405" s="4"/>
      <c r="E405" s="7"/>
      <c r="F405" s="7"/>
      <c r="G405" s="7"/>
      <c r="H405" s="7"/>
      <c r="I405" s="7"/>
      <c r="J405" s="7"/>
      <c r="K405" s="7"/>
    </row>
    <row r="406" spans="4:11" ht="12.75">
      <c r="D406" s="4"/>
      <c r="E406" s="7"/>
      <c r="F406" s="7"/>
      <c r="G406" s="7"/>
      <c r="H406" s="7"/>
      <c r="I406" s="7"/>
      <c r="J406" s="7"/>
      <c r="K406" s="7"/>
    </row>
    <row r="407" spans="4:11" ht="12.75">
      <c r="D407" s="4"/>
      <c r="E407" s="7"/>
      <c r="F407" s="7"/>
      <c r="G407" s="7"/>
      <c r="H407" s="7"/>
      <c r="I407" s="7"/>
      <c r="J407" s="7"/>
      <c r="K407" s="7"/>
    </row>
    <row r="408" spans="4:11" ht="12.75">
      <c r="D408" s="4"/>
      <c r="E408" s="7"/>
      <c r="F408" s="7"/>
      <c r="G408" s="7"/>
      <c r="H408" s="7"/>
      <c r="I408" s="7"/>
      <c r="J408" s="7"/>
      <c r="K408" s="7"/>
    </row>
    <row r="409" spans="4:11" ht="12.75">
      <c r="D409" s="4"/>
      <c r="E409" s="7"/>
      <c r="F409" s="7"/>
      <c r="G409" s="7"/>
      <c r="H409" s="7"/>
      <c r="I409" s="7"/>
      <c r="J409" s="7"/>
      <c r="K409" s="7"/>
    </row>
    <row r="410" spans="4:11" ht="12.75">
      <c r="D410" s="4"/>
      <c r="E410" s="7"/>
      <c r="F410" s="7"/>
      <c r="G410" s="7"/>
      <c r="H410" s="7"/>
      <c r="I410" s="7"/>
      <c r="J410" s="7"/>
      <c r="K410" s="7"/>
    </row>
    <row r="411" spans="4:11" ht="12.75">
      <c r="D411" s="4"/>
      <c r="E411" s="7"/>
      <c r="F411" s="7"/>
      <c r="G411" s="7"/>
      <c r="H411" s="7"/>
      <c r="I411" s="7"/>
      <c r="J411" s="7"/>
      <c r="K411" s="7"/>
    </row>
    <row r="412" spans="4:11" ht="12.75">
      <c r="D412" s="4"/>
      <c r="E412" s="7"/>
      <c r="F412" s="7"/>
      <c r="G412" s="7"/>
      <c r="H412" s="7"/>
      <c r="I412" s="7"/>
      <c r="J412" s="7"/>
      <c r="K412" s="7"/>
    </row>
    <row r="413" spans="4:11" ht="12.75">
      <c r="D413" s="4"/>
      <c r="E413" s="7"/>
      <c r="F413" s="7"/>
      <c r="G413" s="7"/>
      <c r="H413" s="7"/>
      <c r="I413" s="7"/>
      <c r="J413" s="7"/>
      <c r="K413" s="7"/>
    </row>
    <row r="414" spans="4:11" ht="12.75">
      <c r="D414" s="4"/>
      <c r="E414" s="7"/>
      <c r="F414" s="7"/>
      <c r="G414" s="7"/>
      <c r="H414" s="7"/>
      <c r="I414" s="7"/>
      <c r="J414" s="7"/>
      <c r="K414" s="7"/>
    </row>
    <row r="415" spans="4:11" ht="12.75">
      <c r="D415" s="4"/>
      <c r="E415" s="7"/>
      <c r="F415" s="7"/>
      <c r="G415" s="7"/>
      <c r="H415" s="7"/>
      <c r="I415" s="7"/>
      <c r="J415" s="7"/>
      <c r="K415" s="7"/>
    </row>
    <row r="416" spans="4:11" ht="12.75">
      <c r="D416" s="4"/>
      <c r="E416" s="7"/>
      <c r="F416" s="7"/>
      <c r="G416" s="7"/>
      <c r="H416" s="7"/>
      <c r="I416" s="7"/>
      <c r="J416" s="7"/>
      <c r="K416" s="7"/>
    </row>
    <row r="417" spans="4:11" ht="12.75">
      <c r="D417" s="4"/>
      <c r="E417" s="7"/>
      <c r="F417" s="7"/>
      <c r="G417" s="7"/>
      <c r="H417" s="7"/>
      <c r="I417" s="7"/>
      <c r="J417" s="7"/>
      <c r="K417" s="7"/>
    </row>
    <row r="418" spans="4:11" ht="12.75">
      <c r="D418" s="4"/>
      <c r="E418" s="7"/>
      <c r="F418" s="7"/>
      <c r="G418" s="7"/>
      <c r="H418" s="7"/>
      <c r="I418" s="7"/>
      <c r="J418" s="7"/>
      <c r="K418" s="7"/>
    </row>
    <row r="419" spans="4:11" ht="12.75">
      <c r="D419" s="4"/>
      <c r="E419" s="7"/>
      <c r="F419" s="7"/>
      <c r="G419" s="7"/>
      <c r="H419" s="7"/>
      <c r="I419" s="7"/>
      <c r="J419" s="7"/>
      <c r="K419" s="7"/>
    </row>
    <row r="420" spans="4:11" ht="12.75">
      <c r="D420" s="4"/>
      <c r="E420" s="7"/>
      <c r="F420" s="7"/>
      <c r="G420" s="7"/>
      <c r="H420" s="7"/>
      <c r="I420" s="7"/>
      <c r="J420" s="7"/>
      <c r="K420" s="7"/>
    </row>
    <row r="421" spans="4:11" ht="12.75">
      <c r="D421" s="4"/>
      <c r="E421" s="7"/>
      <c r="F421" s="7"/>
      <c r="G421" s="7"/>
      <c r="H421" s="7"/>
      <c r="I421" s="7"/>
      <c r="J421" s="7"/>
      <c r="K421" s="7"/>
    </row>
    <row r="422" spans="4:11" ht="12.75">
      <c r="D422" s="4"/>
      <c r="E422" s="7"/>
      <c r="F422" s="7"/>
      <c r="G422" s="7"/>
      <c r="H422" s="7"/>
      <c r="I422" s="7"/>
      <c r="J422" s="7"/>
      <c r="K422" s="7"/>
    </row>
    <row r="423" spans="4:11" ht="12.75">
      <c r="D423" s="4"/>
      <c r="E423" s="7"/>
      <c r="F423" s="7"/>
      <c r="G423" s="7"/>
      <c r="H423" s="7"/>
      <c r="I423" s="7"/>
      <c r="J423" s="7"/>
      <c r="K423" s="7"/>
    </row>
    <row r="424" spans="4:11" ht="12.75">
      <c r="D424" s="4"/>
      <c r="E424" s="7"/>
      <c r="F424" s="7"/>
      <c r="G424" s="7"/>
      <c r="H424" s="7"/>
      <c r="I424" s="7"/>
      <c r="J424" s="7"/>
      <c r="K424" s="7"/>
    </row>
    <row r="425" spans="4:11" ht="12.75">
      <c r="D425" s="4"/>
      <c r="E425" s="7"/>
      <c r="F425" s="7"/>
      <c r="G425" s="7"/>
      <c r="H425" s="7"/>
      <c r="I425" s="7"/>
      <c r="J425" s="7"/>
      <c r="K425" s="7"/>
    </row>
    <row r="426" spans="4:11" ht="12.75">
      <c r="D426" s="4"/>
      <c r="E426" s="7"/>
      <c r="F426" s="7"/>
      <c r="G426" s="7"/>
      <c r="H426" s="7"/>
      <c r="I426" s="7"/>
      <c r="J426" s="7"/>
      <c r="K426" s="7"/>
    </row>
    <row r="427" spans="4:11" ht="12.75">
      <c r="D427" s="4"/>
      <c r="E427" s="7"/>
      <c r="F427" s="7"/>
      <c r="G427" s="7"/>
      <c r="H427" s="7"/>
      <c r="I427" s="7"/>
      <c r="J427" s="7"/>
      <c r="K427" s="7"/>
    </row>
    <row r="428" spans="4:11" ht="12.75">
      <c r="D428" s="4"/>
      <c r="E428" s="7"/>
      <c r="F428" s="7"/>
      <c r="G428" s="7"/>
      <c r="H428" s="7"/>
      <c r="I428" s="7"/>
      <c r="J428" s="7"/>
      <c r="K428" s="7"/>
    </row>
    <row r="429" spans="4:11" ht="12.75">
      <c r="D429" s="4"/>
      <c r="E429" s="7"/>
      <c r="F429" s="7"/>
      <c r="G429" s="7"/>
      <c r="H429" s="7"/>
      <c r="I429" s="7"/>
      <c r="J429" s="7"/>
      <c r="K429" s="7"/>
    </row>
    <row r="430" spans="4:11" ht="12.75">
      <c r="D430" s="4"/>
      <c r="E430" s="7"/>
      <c r="F430" s="7"/>
      <c r="G430" s="7"/>
      <c r="H430" s="7"/>
      <c r="I430" s="7"/>
      <c r="J430" s="7"/>
      <c r="K430" s="7"/>
    </row>
    <row r="431" spans="4:11" ht="12.75">
      <c r="D431" s="4"/>
      <c r="E431" s="7"/>
      <c r="F431" s="7"/>
      <c r="G431" s="7"/>
      <c r="H431" s="7"/>
      <c r="I431" s="7"/>
      <c r="J431" s="7"/>
      <c r="K431" s="7"/>
    </row>
    <row r="432" spans="4:11" ht="12.75">
      <c r="D432" s="4"/>
      <c r="E432" s="7"/>
      <c r="F432" s="7"/>
      <c r="G432" s="7"/>
      <c r="H432" s="7"/>
      <c r="I432" s="7"/>
      <c r="J432" s="7"/>
      <c r="K432" s="7"/>
    </row>
    <row r="433" spans="4:11" ht="12.75">
      <c r="D433" s="4"/>
      <c r="E433" s="7"/>
      <c r="F433" s="7"/>
      <c r="G433" s="7"/>
      <c r="H433" s="7"/>
      <c r="I433" s="7"/>
      <c r="J433" s="7"/>
      <c r="K433" s="7"/>
    </row>
    <row r="434" spans="4:11" ht="12.75">
      <c r="D434" s="4"/>
      <c r="E434" s="7"/>
      <c r="F434" s="7"/>
      <c r="G434" s="7"/>
      <c r="H434" s="7"/>
      <c r="I434" s="7"/>
      <c r="J434" s="7"/>
      <c r="K434" s="7"/>
    </row>
    <row r="435" spans="4:11" ht="12.75">
      <c r="D435" s="4"/>
      <c r="E435" s="7"/>
      <c r="F435" s="7"/>
      <c r="G435" s="7"/>
      <c r="H435" s="7"/>
      <c r="I435" s="7"/>
      <c r="J435" s="7"/>
      <c r="K435" s="7"/>
    </row>
    <row r="436" spans="4:11" ht="12.75">
      <c r="D436" s="4"/>
      <c r="E436" s="7"/>
      <c r="F436" s="7"/>
      <c r="G436" s="7"/>
      <c r="H436" s="7"/>
      <c r="I436" s="7"/>
      <c r="J436" s="7"/>
      <c r="K436" s="7"/>
    </row>
    <row r="437" spans="4:11" ht="12.75">
      <c r="D437" s="4"/>
      <c r="E437" s="7"/>
      <c r="F437" s="7"/>
      <c r="G437" s="7"/>
      <c r="H437" s="7"/>
      <c r="I437" s="7"/>
      <c r="J437" s="7"/>
      <c r="K437" s="7"/>
    </row>
    <row r="438" spans="4:11" ht="12.75">
      <c r="D438" s="4"/>
      <c r="E438" s="7"/>
      <c r="F438" s="7"/>
      <c r="G438" s="7"/>
      <c r="H438" s="7"/>
      <c r="I438" s="7"/>
      <c r="J438" s="7"/>
      <c r="K438" s="7"/>
    </row>
    <row r="439" spans="4:11" ht="12.75">
      <c r="D439" s="4"/>
      <c r="E439" s="7"/>
      <c r="F439" s="7"/>
      <c r="G439" s="7"/>
      <c r="H439" s="7"/>
      <c r="I439" s="7"/>
      <c r="J439" s="7"/>
      <c r="K439" s="7"/>
    </row>
    <row r="440" spans="4:11" ht="12.75">
      <c r="D440" s="4"/>
      <c r="E440" s="7"/>
      <c r="F440" s="7"/>
      <c r="G440" s="7"/>
      <c r="H440" s="7"/>
      <c r="I440" s="7"/>
      <c r="J440" s="7"/>
      <c r="K440" s="7"/>
    </row>
    <row r="441" spans="4:11" ht="12.75">
      <c r="D441" s="4"/>
      <c r="E441" s="7"/>
      <c r="F441" s="7"/>
      <c r="G441" s="7"/>
      <c r="H441" s="7"/>
      <c r="I441" s="7"/>
      <c r="J441" s="7"/>
      <c r="K441" s="7"/>
    </row>
    <row r="442" spans="4:11" ht="12.75">
      <c r="D442" s="4"/>
      <c r="E442" s="7"/>
      <c r="F442" s="7"/>
      <c r="G442" s="7"/>
      <c r="H442" s="7"/>
      <c r="I442" s="7"/>
      <c r="J442" s="7"/>
      <c r="K442" s="7"/>
    </row>
    <row r="443" spans="4:11" ht="12.75">
      <c r="D443" s="4"/>
      <c r="E443" s="7"/>
      <c r="F443" s="7"/>
      <c r="G443" s="7"/>
      <c r="H443" s="7"/>
      <c r="I443" s="7"/>
      <c r="J443" s="7"/>
      <c r="K443" s="7"/>
    </row>
    <row r="444" spans="4:11" ht="12.75">
      <c r="D444" s="4"/>
      <c r="E444" s="7"/>
      <c r="F444" s="7"/>
      <c r="G444" s="7"/>
      <c r="H444" s="7"/>
      <c r="I444" s="7"/>
      <c r="J444" s="7"/>
      <c r="K444" s="7"/>
    </row>
    <row r="445" spans="4:11" ht="12.75">
      <c r="D445" s="4"/>
      <c r="E445" s="7"/>
      <c r="F445" s="7"/>
      <c r="G445" s="7"/>
      <c r="H445" s="7"/>
      <c r="I445" s="7"/>
      <c r="J445" s="7"/>
      <c r="K445" s="7"/>
    </row>
    <row r="446" spans="4:11" ht="12.75">
      <c r="D446" s="4"/>
      <c r="E446" s="7"/>
      <c r="F446" s="7"/>
      <c r="G446" s="7"/>
      <c r="H446" s="7"/>
      <c r="I446" s="7"/>
      <c r="J446" s="7"/>
      <c r="K446" s="7"/>
    </row>
    <row r="447" spans="4:11" ht="12.75">
      <c r="D447" s="4"/>
      <c r="E447" s="7"/>
      <c r="F447" s="7"/>
      <c r="G447" s="7"/>
      <c r="H447" s="7"/>
      <c r="I447" s="7"/>
      <c r="J447" s="7"/>
      <c r="K447" s="7"/>
    </row>
    <row r="448" spans="4:11" ht="12.75">
      <c r="D448" s="4"/>
      <c r="E448" s="7"/>
      <c r="F448" s="7"/>
      <c r="G448" s="7"/>
      <c r="H448" s="7"/>
      <c r="I448" s="7"/>
      <c r="J448" s="7"/>
      <c r="K448" s="7"/>
    </row>
    <row r="449" spans="4:11" ht="12.75">
      <c r="D449" s="4"/>
      <c r="E449" s="7"/>
      <c r="F449" s="7"/>
      <c r="G449" s="7"/>
      <c r="H449" s="7"/>
      <c r="I449" s="7"/>
      <c r="J449" s="7"/>
      <c r="K449" s="7"/>
    </row>
    <row r="450" spans="4:11" ht="12.75">
      <c r="D450" s="4"/>
      <c r="E450" s="7"/>
      <c r="F450" s="7"/>
      <c r="G450" s="7"/>
      <c r="H450" s="7"/>
      <c r="I450" s="7"/>
      <c r="J450" s="7"/>
      <c r="K450" s="7"/>
    </row>
    <row r="451" spans="4:11" ht="12.75">
      <c r="D451" s="4"/>
      <c r="E451" s="7"/>
      <c r="F451" s="7"/>
      <c r="G451" s="7"/>
      <c r="H451" s="7"/>
      <c r="I451" s="7"/>
      <c r="J451" s="7"/>
      <c r="K451" s="7"/>
    </row>
    <row r="452" spans="4:11" ht="12.75">
      <c r="D452" s="4"/>
      <c r="E452" s="7"/>
      <c r="F452" s="7"/>
      <c r="G452" s="7"/>
      <c r="H452" s="7"/>
      <c r="I452" s="7"/>
      <c r="J452" s="7"/>
      <c r="K452" s="7"/>
    </row>
    <row r="453" spans="4:11" ht="12.75">
      <c r="D453" s="4"/>
      <c r="E453" s="7"/>
      <c r="F453" s="7"/>
      <c r="G453" s="7"/>
      <c r="H453" s="7"/>
      <c r="I453" s="7"/>
      <c r="J453" s="7"/>
      <c r="K453" s="7"/>
    </row>
    <row r="454" spans="4:11" ht="12.75">
      <c r="D454" s="4"/>
      <c r="E454" s="7"/>
      <c r="F454" s="7"/>
      <c r="G454" s="7"/>
      <c r="H454" s="7"/>
      <c r="I454" s="7"/>
      <c r="J454" s="7"/>
      <c r="K454" s="7"/>
    </row>
    <row r="455" spans="4:11" ht="12.75">
      <c r="D455" s="4"/>
      <c r="E455" s="7"/>
      <c r="F455" s="7"/>
      <c r="G455" s="7"/>
      <c r="H455" s="7"/>
      <c r="I455" s="7"/>
      <c r="J455" s="7"/>
      <c r="K455" s="7"/>
    </row>
    <row r="456" spans="4:11" ht="12.75">
      <c r="D456" s="4"/>
      <c r="E456" s="7"/>
      <c r="F456" s="7"/>
      <c r="G456" s="7"/>
      <c r="H456" s="7"/>
      <c r="I456" s="7"/>
      <c r="J456" s="7"/>
      <c r="K456" s="7"/>
    </row>
    <row r="457" spans="4:11" ht="12.75">
      <c r="D457" s="4"/>
      <c r="E457" s="7"/>
      <c r="F457" s="7"/>
      <c r="G457" s="7"/>
      <c r="H457" s="7"/>
      <c r="I457" s="7"/>
      <c r="J457" s="7"/>
      <c r="K457" s="7"/>
    </row>
    <row r="458" spans="4:11" ht="12.75">
      <c r="D458" s="4"/>
      <c r="E458" s="7"/>
      <c r="F458" s="7"/>
      <c r="G458" s="7"/>
      <c r="H458" s="7"/>
      <c r="I458" s="7"/>
      <c r="J458" s="7"/>
      <c r="K458" s="7"/>
    </row>
    <row r="459" spans="4:11" ht="12.75">
      <c r="D459" s="4"/>
      <c r="E459" s="7"/>
      <c r="F459" s="7"/>
      <c r="G459" s="7"/>
      <c r="H459" s="7"/>
      <c r="I459" s="7"/>
      <c r="J459" s="7"/>
      <c r="K459" s="7"/>
    </row>
    <row r="460" spans="4:11" ht="12.75">
      <c r="D460" s="4"/>
      <c r="E460" s="7"/>
      <c r="F460" s="7"/>
      <c r="G460" s="7"/>
      <c r="H460" s="7"/>
      <c r="I460" s="7"/>
      <c r="J460" s="7"/>
      <c r="K460" s="7"/>
    </row>
    <row r="461" spans="4:11" ht="12.75">
      <c r="D461" s="4"/>
      <c r="E461" s="7"/>
      <c r="F461" s="7"/>
      <c r="G461" s="7"/>
      <c r="H461" s="7"/>
      <c r="I461" s="7"/>
      <c r="J461" s="7"/>
      <c r="K461" s="7"/>
    </row>
    <row r="462" spans="4:11" ht="12.75">
      <c r="D462" s="4"/>
      <c r="E462" s="7"/>
      <c r="F462" s="7"/>
      <c r="G462" s="7"/>
      <c r="H462" s="7"/>
      <c r="I462" s="7"/>
      <c r="J462" s="7"/>
      <c r="K462" s="7"/>
    </row>
    <row r="463" spans="4:11" ht="12.75">
      <c r="D463" s="4"/>
      <c r="E463" s="7"/>
      <c r="F463" s="7"/>
      <c r="G463" s="7"/>
      <c r="H463" s="7"/>
      <c r="I463" s="7"/>
      <c r="J463" s="7"/>
      <c r="K463" s="7"/>
    </row>
    <row r="464" spans="4:11" ht="12.75">
      <c r="D464" s="4"/>
      <c r="E464" s="7"/>
      <c r="F464" s="7"/>
      <c r="G464" s="7"/>
      <c r="H464" s="7"/>
      <c r="I464" s="7"/>
      <c r="J464" s="7"/>
      <c r="K464" s="7"/>
    </row>
    <row r="465" spans="4:11" ht="12.75">
      <c r="D465" s="4"/>
      <c r="E465" s="7"/>
      <c r="F465" s="7"/>
      <c r="G465" s="7"/>
      <c r="H465" s="7"/>
      <c r="I465" s="7"/>
      <c r="J465" s="7"/>
      <c r="K465" s="7"/>
    </row>
    <row r="466" spans="4:11" ht="12.75">
      <c r="D466" s="4"/>
      <c r="E466" s="7"/>
      <c r="F466" s="7"/>
      <c r="G466" s="7"/>
      <c r="H466" s="7"/>
      <c r="I466" s="7"/>
      <c r="J466" s="7"/>
      <c r="K466" s="7"/>
    </row>
    <row r="467" spans="4:11" ht="12.75">
      <c r="D467" s="4"/>
      <c r="E467" s="7"/>
      <c r="F467" s="7"/>
      <c r="G467" s="7"/>
      <c r="H467" s="7"/>
      <c r="I467" s="7"/>
      <c r="J467" s="7"/>
      <c r="K467" s="7"/>
    </row>
    <row r="468" spans="4:11" ht="12.75">
      <c r="D468" s="4"/>
      <c r="E468" s="7"/>
      <c r="F468" s="7"/>
      <c r="G468" s="7"/>
      <c r="H468" s="7"/>
      <c r="I468" s="7"/>
      <c r="J468" s="7"/>
      <c r="K468" s="7"/>
    </row>
    <row r="469" spans="4:11" ht="12.75">
      <c r="D469" s="4"/>
      <c r="E469" s="7"/>
      <c r="F469" s="7"/>
      <c r="G469" s="7"/>
      <c r="H469" s="7"/>
      <c r="I469" s="7"/>
      <c r="J469" s="7"/>
      <c r="K469" s="7"/>
    </row>
    <row r="470" spans="4:11" ht="12.75">
      <c r="D470" s="4"/>
      <c r="E470" s="7"/>
      <c r="F470" s="7"/>
      <c r="G470" s="7"/>
      <c r="H470" s="7"/>
      <c r="I470" s="7"/>
      <c r="J470" s="7"/>
      <c r="K470" s="7"/>
    </row>
    <row r="471" spans="4:11" ht="12.75">
      <c r="D471" s="4"/>
      <c r="E471" s="7"/>
      <c r="F471" s="7"/>
      <c r="G471" s="7"/>
      <c r="H471" s="7"/>
      <c r="I471" s="7"/>
      <c r="J471" s="7"/>
      <c r="K471" s="7"/>
    </row>
    <row r="472" spans="4:11" ht="12.75">
      <c r="D472" s="4"/>
      <c r="E472" s="7"/>
      <c r="F472" s="7"/>
      <c r="G472" s="7"/>
      <c r="H472" s="7"/>
      <c r="I472" s="7"/>
      <c r="J472" s="7"/>
      <c r="K472" s="7"/>
    </row>
    <row r="473" spans="4:11" ht="12.75">
      <c r="D473" s="4"/>
      <c r="E473" s="7"/>
      <c r="F473" s="7"/>
      <c r="G473" s="7"/>
      <c r="H473" s="7"/>
      <c r="I473" s="7"/>
      <c r="J473" s="7"/>
      <c r="K473" s="7"/>
    </row>
    <row r="474" spans="4:11" ht="12.75">
      <c r="D474" s="4"/>
      <c r="E474" s="7"/>
      <c r="F474" s="7"/>
      <c r="G474" s="7"/>
      <c r="H474" s="7"/>
      <c r="I474" s="7"/>
      <c r="J474" s="7"/>
      <c r="K474" s="7"/>
    </row>
    <row r="475" spans="4:11" ht="12.75">
      <c r="D475" s="4"/>
      <c r="E475" s="7"/>
      <c r="F475" s="7"/>
      <c r="G475" s="7"/>
      <c r="H475" s="7"/>
      <c r="I475" s="7"/>
      <c r="J475" s="7"/>
      <c r="K475" s="7"/>
    </row>
    <row r="476" spans="4:11" ht="12.75">
      <c r="D476" s="4"/>
      <c r="E476" s="7"/>
      <c r="F476" s="7"/>
      <c r="G476" s="7"/>
      <c r="H476" s="7"/>
      <c r="I476" s="7"/>
      <c r="J476" s="7"/>
      <c r="K476" s="7"/>
    </row>
    <row r="477" spans="4:11" ht="12.75">
      <c r="D477" s="4"/>
      <c r="E477" s="7"/>
      <c r="F477" s="7"/>
      <c r="G477" s="7"/>
      <c r="H477" s="7"/>
      <c r="I477" s="7"/>
      <c r="J477" s="7"/>
      <c r="K477" s="7"/>
    </row>
    <row r="478" spans="4:11" ht="12.75">
      <c r="D478" s="4"/>
      <c r="E478" s="7"/>
      <c r="F478" s="7"/>
      <c r="G478" s="7"/>
      <c r="H478" s="7"/>
      <c r="I478" s="7"/>
      <c r="J478" s="7"/>
      <c r="K478" s="7"/>
    </row>
    <row r="479" spans="4:11" ht="12.75">
      <c r="D479" s="4"/>
      <c r="E479" s="7"/>
      <c r="F479" s="7"/>
      <c r="G479" s="7"/>
      <c r="H479" s="7"/>
      <c r="I479" s="7"/>
      <c r="J479" s="7"/>
      <c r="K479" s="7"/>
    </row>
    <row r="480" spans="4:11" ht="12.75">
      <c r="D480" s="4"/>
      <c r="E480" s="7"/>
      <c r="F480" s="7"/>
      <c r="G480" s="7"/>
      <c r="H480" s="7"/>
      <c r="I480" s="7"/>
      <c r="J480" s="7"/>
      <c r="K480" s="7"/>
    </row>
    <row r="481" spans="4:11" ht="12.75">
      <c r="D481" s="4"/>
      <c r="E481" s="7"/>
      <c r="F481" s="7"/>
      <c r="G481" s="7"/>
      <c r="H481" s="7"/>
      <c r="I481" s="7"/>
      <c r="J481" s="7"/>
      <c r="K481" s="7"/>
    </row>
    <row r="482" spans="4:11" ht="12.75">
      <c r="D482" s="4"/>
      <c r="E482" s="7"/>
      <c r="F482" s="7"/>
      <c r="G482" s="7"/>
      <c r="H482" s="7"/>
      <c r="I482" s="7"/>
      <c r="J482" s="7"/>
      <c r="K482" s="7"/>
    </row>
    <row r="483" spans="4:11" ht="12.75">
      <c r="D483" s="4"/>
      <c r="E483" s="7"/>
      <c r="F483" s="7"/>
      <c r="G483" s="7"/>
      <c r="H483" s="7"/>
      <c r="I483" s="7"/>
      <c r="J483" s="7"/>
      <c r="K483" s="7"/>
    </row>
    <row r="484" spans="4:11" ht="12.75">
      <c r="D484" s="4"/>
      <c r="E484" s="7"/>
      <c r="F484" s="7"/>
      <c r="G484" s="7"/>
      <c r="H484" s="7"/>
      <c r="I484" s="7"/>
      <c r="J484" s="7"/>
      <c r="K484" s="7"/>
    </row>
    <row r="485" spans="4:11" ht="12.75">
      <c r="D485" s="4"/>
      <c r="E485" s="7"/>
      <c r="F485" s="7"/>
      <c r="G485" s="7"/>
      <c r="H485" s="7"/>
      <c r="I485" s="7"/>
      <c r="J485" s="7"/>
      <c r="K485" s="7"/>
    </row>
    <row r="486" spans="4:11" ht="12.75">
      <c r="D486" s="4"/>
      <c r="E486" s="7"/>
      <c r="F486" s="7"/>
      <c r="G486" s="7"/>
      <c r="H486" s="7"/>
      <c r="I486" s="7"/>
      <c r="J486" s="7"/>
      <c r="K486" s="7"/>
    </row>
    <row r="487" spans="4:11" ht="12.75">
      <c r="D487" s="4"/>
      <c r="E487" s="7"/>
      <c r="F487" s="7"/>
      <c r="G487" s="7"/>
      <c r="H487" s="7"/>
      <c r="I487" s="7"/>
      <c r="J487" s="7"/>
      <c r="K487" s="7"/>
    </row>
    <row r="488" spans="4:11" ht="12.75">
      <c r="D488" s="4"/>
      <c r="E488" s="7"/>
      <c r="F488" s="7"/>
      <c r="G488" s="7"/>
      <c r="H488" s="7"/>
      <c r="I488" s="7"/>
      <c r="J488" s="7"/>
      <c r="K488" s="7"/>
    </row>
    <row r="489" spans="4:11" ht="12.75">
      <c r="D489" s="4"/>
      <c r="E489" s="7"/>
      <c r="F489" s="7"/>
      <c r="G489" s="7"/>
      <c r="H489" s="7"/>
      <c r="I489" s="7"/>
      <c r="J489" s="7"/>
      <c r="K489" s="7"/>
    </row>
    <row r="490" spans="4:11" ht="12.75">
      <c r="D490" s="4"/>
      <c r="E490" s="7"/>
      <c r="F490" s="7"/>
      <c r="G490" s="7"/>
      <c r="H490" s="7"/>
      <c r="I490" s="7"/>
      <c r="J490" s="7"/>
      <c r="K490" s="7"/>
    </row>
    <row r="491" spans="4:11" ht="12.75">
      <c r="D491" s="4"/>
      <c r="E491" s="7"/>
      <c r="F491" s="7"/>
      <c r="G491" s="7"/>
      <c r="H491" s="7"/>
      <c r="I491" s="7"/>
      <c r="J491" s="7"/>
      <c r="K491" s="7"/>
    </row>
    <row r="492" spans="4:11" ht="12.75">
      <c r="D492" s="4"/>
      <c r="E492" s="7"/>
      <c r="F492" s="7"/>
      <c r="G492" s="7"/>
      <c r="H492" s="7"/>
      <c r="I492" s="7"/>
      <c r="J492" s="7"/>
      <c r="K492" s="7"/>
    </row>
    <row r="493" spans="4:11" ht="12.75">
      <c r="D493" s="4"/>
      <c r="E493" s="7"/>
      <c r="F493" s="7"/>
      <c r="G493" s="7"/>
      <c r="H493" s="7"/>
      <c r="I493" s="7"/>
      <c r="J493" s="7"/>
      <c r="K493" s="7"/>
    </row>
    <row r="494" spans="4:11" ht="12.75">
      <c r="D494" s="4"/>
      <c r="E494" s="7"/>
      <c r="F494" s="7"/>
      <c r="G494" s="7"/>
      <c r="H494" s="7"/>
      <c r="I494" s="7"/>
      <c r="J494" s="7"/>
      <c r="K494" s="7"/>
    </row>
    <row r="495" spans="4:11" ht="12.75">
      <c r="D495" s="4"/>
      <c r="E495" s="7"/>
      <c r="F495" s="7"/>
      <c r="G495" s="7"/>
      <c r="H495" s="7"/>
      <c r="I495" s="7"/>
      <c r="J495" s="7"/>
      <c r="K495" s="7"/>
    </row>
    <row r="496" spans="4:11" ht="12.75">
      <c r="D496" s="4"/>
      <c r="E496" s="7"/>
      <c r="F496" s="7"/>
      <c r="G496" s="7"/>
      <c r="H496" s="7"/>
      <c r="I496" s="7"/>
      <c r="J496" s="7"/>
      <c r="K496" s="7"/>
    </row>
    <row r="497" spans="4:11" ht="12.75">
      <c r="D497" s="4"/>
      <c r="E497" s="7"/>
      <c r="F497" s="7"/>
      <c r="G497" s="7"/>
      <c r="H497" s="7"/>
      <c r="I497" s="7"/>
      <c r="J497" s="7"/>
      <c r="K497" s="7"/>
    </row>
    <row r="498" spans="4:11" ht="12.75">
      <c r="D498" s="4"/>
      <c r="E498" s="7"/>
      <c r="F498" s="7"/>
      <c r="G498" s="7"/>
      <c r="H498" s="7"/>
      <c r="I498" s="7"/>
      <c r="J498" s="7"/>
      <c r="K498" s="7"/>
    </row>
    <row r="499" spans="4:11" ht="12.75">
      <c r="D499" s="4"/>
      <c r="E499" s="7"/>
      <c r="F499" s="7"/>
      <c r="G499" s="7"/>
      <c r="H499" s="7"/>
      <c r="I499" s="7"/>
      <c r="J499" s="7"/>
      <c r="K499" s="7"/>
    </row>
    <row r="500" spans="4:11" ht="12.75">
      <c r="D500" s="4"/>
      <c r="E500" s="7"/>
      <c r="F500" s="7"/>
      <c r="G500" s="7"/>
      <c r="H500" s="7"/>
      <c r="I500" s="7"/>
      <c r="J500" s="7"/>
      <c r="K500" s="7"/>
    </row>
    <row r="501" spans="4:11" ht="12.75">
      <c r="D501" s="4"/>
      <c r="E501" s="7"/>
      <c r="F501" s="7"/>
      <c r="G501" s="7"/>
      <c r="H501" s="7"/>
      <c r="I501" s="7"/>
      <c r="J501" s="7"/>
      <c r="K501" s="7"/>
    </row>
    <row r="502" spans="4:11" ht="12.75">
      <c r="D502" s="4"/>
      <c r="E502" s="7"/>
      <c r="F502" s="7"/>
      <c r="G502" s="7"/>
      <c r="H502" s="7"/>
      <c r="I502" s="7"/>
      <c r="J502" s="7"/>
      <c r="K502" s="7"/>
    </row>
    <row r="503" spans="4:11" ht="12.75">
      <c r="D503" s="4"/>
      <c r="E503" s="7"/>
      <c r="F503" s="7"/>
      <c r="G503" s="7"/>
      <c r="H503" s="7"/>
      <c r="I503" s="7"/>
      <c r="J503" s="7"/>
      <c r="K503" s="7"/>
    </row>
    <row r="504" spans="4:11" ht="12.75">
      <c r="D504" s="4"/>
      <c r="E504" s="7"/>
      <c r="F504" s="7"/>
      <c r="G504" s="7"/>
      <c r="H504" s="7"/>
      <c r="I504" s="7"/>
      <c r="J504" s="7"/>
      <c r="K504" s="7"/>
    </row>
    <row r="505" spans="4:11" ht="12.75">
      <c r="D505" s="4"/>
      <c r="E505" s="7"/>
      <c r="F505" s="7"/>
      <c r="G505" s="7"/>
      <c r="H505" s="7"/>
      <c r="I505" s="7"/>
      <c r="J505" s="7"/>
      <c r="K505" s="7"/>
    </row>
    <row r="506" spans="4:11" ht="12.75">
      <c r="D506" s="4"/>
      <c r="E506" s="7"/>
      <c r="F506" s="7"/>
      <c r="G506" s="7"/>
      <c r="H506" s="7"/>
      <c r="I506" s="7"/>
      <c r="J506" s="7"/>
      <c r="K506" s="7"/>
    </row>
    <row r="507" spans="4:11" ht="12.75">
      <c r="D507" s="4"/>
      <c r="E507" s="7"/>
      <c r="F507" s="7"/>
      <c r="G507" s="7"/>
      <c r="H507" s="7"/>
      <c r="I507" s="7"/>
      <c r="J507" s="7"/>
      <c r="K507" s="7"/>
    </row>
    <row r="508" spans="4:11" ht="12.75">
      <c r="D508" s="4"/>
      <c r="E508" s="7"/>
      <c r="F508" s="7"/>
      <c r="G508" s="7"/>
      <c r="H508" s="7"/>
      <c r="I508" s="7"/>
      <c r="J508" s="7"/>
      <c r="K508" s="7"/>
    </row>
    <row r="509" spans="4:11" ht="12.75">
      <c r="D509" s="4"/>
      <c r="E509" s="7"/>
      <c r="F509" s="7"/>
      <c r="G509" s="7"/>
      <c r="H509" s="7"/>
      <c r="I509" s="7"/>
      <c r="J509" s="7"/>
      <c r="K509" s="7"/>
    </row>
    <row r="510" spans="4:11" ht="12.75">
      <c r="D510" s="4"/>
      <c r="E510" s="7"/>
      <c r="F510" s="7"/>
      <c r="G510" s="7"/>
      <c r="H510" s="7"/>
      <c r="I510" s="7"/>
      <c r="J510" s="7"/>
      <c r="K510" s="7"/>
    </row>
    <row r="511" spans="4:11" ht="12.75">
      <c r="D511" s="4"/>
      <c r="E511" s="7"/>
      <c r="F511" s="7"/>
      <c r="G511" s="7"/>
      <c r="H511" s="7"/>
      <c r="I511" s="7"/>
      <c r="J511" s="7"/>
      <c r="K511" s="7"/>
    </row>
    <row r="512" spans="4:11" ht="12.75">
      <c r="D512" s="4"/>
      <c r="E512" s="7"/>
      <c r="F512" s="7"/>
      <c r="G512" s="7"/>
      <c r="H512" s="7"/>
      <c r="I512" s="7"/>
      <c r="J512" s="7"/>
      <c r="K512" s="7"/>
    </row>
    <row r="513" spans="4:11" ht="12.75">
      <c r="D513" s="4"/>
      <c r="E513" s="7"/>
      <c r="F513" s="7"/>
      <c r="G513" s="7"/>
      <c r="H513" s="7"/>
      <c r="I513" s="7"/>
      <c r="J513" s="7"/>
      <c r="K513" s="7"/>
    </row>
    <row r="514" spans="4:11" ht="12.75">
      <c r="D514" s="4"/>
      <c r="E514" s="7"/>
      <c r="F514" s="7"/>
      <c r="G514" s="7"/>
      <c r="H514" s="7"/>
      <c r="I514" s="7"/>
      <c r="J514" s="7"/>
      <c r="K514" s="7"/>
    </row>
    <row r="515" spans="4:11" ht="12.75">
      <c r="D515" s="4"/>
      <c r="E515" s="7"/>
      <c r="F515" s="7"/>
      <c r="G515" s="7"/>
      <c r="H515" s="7"/>
      <c r="I515" s="7"/>
      <c r="J515" s="7"/>
      <c r="K515" s="7"/>
    </row>
    <row r="516" spans="4:11" ht="12.75">
      <c r="D516" s="4"/>
      <c r="E516" s="7"/>
      <c r="F516" s="7"/>
      <c r="G516" s="7"/>
      <c r="H516" s="7"/>
      <c r="I516" s="7"/>
      <c r="J516" s="7"/>
      <c r="K516" s="7"/>
    </row>
    <row r="517" spans="4:11" ht="12.75">
      <c r="D517" s="4"/>
      <c r="E517" s="7"/>
      <c r="F517" s="7"/>
      <c r="G517" s="7"/>
      <c r="H517" s="7"/>
      <c r="I517" s="7"/>
      <c r="J517" s="7"/>
      <c r="K517" s="7"/>
    </row>
    <row r="518" spans="4:11" ht="12.75">
      <c r="D518" s="4"/>
      <c r="E518" s="7"/>
      <c r="F518" s="7"/>
      <c r="G518" s="7"/>
      <c r="H518" s="7"/>
      <c r="I518" s="7"/>
      <c r="J518" s="7"/>
      <c r="K518" s="7"/>
    </row>
    <row r="519" spans="4:11" ht="12.75">
      <c r="D519" s="4"/>
      <c r="E519" s="7"/>
      <c r="F519" s="7"/>
      <c r="G519" s="7"/>
      <c r="H519" s="7"/>
      <c r="I519" s="7"/>
      <c r="J519" s="7"/>
      <c r="K519" s="7"/>
    </row>
    <row r="520" spans="4:11" ht="12.75">
      <c r="D520" s="4"/>
      <c r="E520" s="7"/>
      <c r="F520" s="7"/>
      <c r="G520" s="7"/>
      <c r="H520" s="7"/>
      <c r="I520" s="7"/>
      <c r="J520" s="7"/>
      <c r="K520" s="7"/>
    </row>
    <row r="521" spans="4:11" ht="12.75">
      <c r="D521" s="4"/>
      <c r="E521" s="7"/>
      <c r="F521" s="7"/>
      <c r="G521" s="7"/>
      <c r="H521" s="7"/>
      <c r="I521" s="7"/>
      <c r="J521" s="7"/>
      <c r="K521" s="7"/>
    </row>
    <row r="522" spans="4:11" ht="12.75">
      <c r="D522" s="4"/>
      <c r="E522" s="7"/>
      <c r="F522" s="7"/>
      <c r="G522" s="7"/>
      <c r="H522" s="7"/>
      <c r="I522" s="7"/>
      <c r="J522" s="7"/>
      <c r="K522" s="7"/>
    </row>
    <row r="523" spans="4:11" ht="12.75">
      <c r="D523" s="4"/>
      <c r="E523" s="7"/>
      <c r="F523" s="7"/>
      <c r="G523" s="7"/>
      <c r="H523" s="7"/>
      <c r="I523" s="7"/>
      <c r="J523" s="7"/>
      <c r="K523" s="7"/>
    </row>
    <row r="524" spans="4:11" ht="12.75">
      <c r="D524" s="4"/>
      <c r="E524" s="7"/>
      <c r="F524" s="7"/>
      <c r="G524" s="7"/>
      <c r="H524" s="7"/>
      <c r="I524" s="7"/>
      <c r="J524" s="7"/>
      <c r="K524" s="7"/>
    </row>
    <row r="525" spans="4:11" ht="12.75">
      <c r="D525" s="4"/>
      <c r="E525" s="7"/>
      <c r="F525" s="7"/>
      <c r="G525" s="7"/>
      <c r="H525" s="7"/>
      <c r="I525" s="7"/>
      <c r="J525" s="7"/>
      <c r="K525" s="7"/>
    </row>
    <row r="526" spans="4:11" ht="12.75">
      <c r="D526" s="4"/>
      <c r="E526" s="7"/>
      <c r="F526" s="7"/>
      <c r="G526" s="7"/>
      <c r="H526" s="7"/>
      <c r="I526" s="7"/>
      <c r="J526" s="7"/>
      <c r="K526" s="7"/>
    </row>
    <row r="527" spans="4:11" ht="12.75">
      <c r="D527" s="4"/>
      <c r="E527" s="7"/>
      <c r="F527" s="7"/>
      <c r="G527" s="7"/>
      <c r="H527" s="7"/>
      <c r="I527" s="7"/>
      <c r="J527" s="7"/>
      <c r="K527" s="7"/>
    </row>
    <row r="528" spans="4:11" ht="12.75">
      <c r="D528" s="4"/>
      <c r="E528" s="7"/>
      <c r="F528" s="7"/>
      <c r="G528" s="7"/>
      <c r="H528" s="7"/>
      <c r="I528" s="7"/>
      <c r="J528" s="7"/>
      <c r="K528" s="7"/>
    </row>
    <row r="529" spans="4:11" ht="12.75">
      <c r="D529" s="4"/>
      <c r="E529" s="7"/>
      <c r="F529" s="7"/>
      <c r="G529" s="7"/>
      <c r="H529" s="7"/>
      <c r="I529" s="7"/>
      <c r="J529" s="7"/>
      <c r="K529" s="7"/>
    </row>
    <row r="530" spans="4:11" ht="12.75">
      <c r="D530" s="4"/>
      <c r="E530" s="7"/>
      <c r="F530" s="7"/>
      <c r="G530" s="7"/>
      <c r="H530" s="7"/>
      <c r="I530" s="7"/>
      <c r="J530" s="7"/>
      <c r="K530" s="7"/>
    </row>
    <row r="531" spans="4:11" ht="12.75">
      <c r="D531" s="4"/>
      <c r="E531" s="7"/>
      <c r="F531" s="7"/>
      <c r="G531" s="7"/>
      <c r="H531" s="7"/>
      <c r="I531" s="7"/>
      <c r="J531" s="7"/>
      <c r="K531" s="7"/>
    </row>
    <row r="532" spans="4:11" ht="12.75">
      <c r="D532" s="4"/>
      <c r="E532" s="7"/>
      <c r="F532" s="7"/>
      <c r="G532" s="7"/>
      <c r="H532" s="7"/>
      <c r="I532" s="7"/>
      <c r="J532" s="7"/>
      <c r="K532" s="7"/>
    </row>
    <row r="533" spans="4:11" ht="12.75">
      <c r="D533" s="4"/>
      <c r="E533" s="7"/>
      <c r="F533" s="7"/>
      <c r="G533" s="7"/>
      <c r="H533" s="7"/>
      <c r="I533" s="7"/>
      <c r="J533" s="7"/>
      <c r="K533" s="7"/>
    </row>
    <row r="534" spans="4:11" ht="12.75">
      <c r="D534" s="4"/>
      <c r="E534" s="7"/>
      <c r="F534" s="7"/>
      <c r="G534" s="7"/>
      <c r="H534" s="7"/>
      <c r="I534" s="7"/>
      <c r="J534" s="7"/>
      <c r="K534" s="7"/>
    </row>
    <row r="535" spans="4:11" ht="12.75">
      <c r="D535" s="4"/>
      <c r="E535" s="7"/>
      <c r="F535" s="7"/>
      <c r="G535" s="7"/>
      <c r="H535" s="7"/>
      <c r="I535" s="7"/>
      <c r="J535" s="7"/>
      <c r="K535" s="7"/>
    </row>
    <row r="536" spans="4:11" ht="12.75">
      <c r="D536" s="4"/>
      <c r="E536" s="7"/>
      <c r="F536" s="7"/>
      <c r="G536" s="7"/>
      <c r="H536" s="7"/>
      <c r="I536" s="7"/>
      <c r="J536" s="7"/>
      <c r="K536" s="7"/>
    </row>
    <row r="537" spans="4:11" ht="12.75">
      <c r="D537" s="4"/>
      <c r="E537" s="7"/>
      <c r="F537" s="7"/>
      <c r="G537" s="7"/>
      <c r="H537" s="7"/>
      <c r="I537" s="7"/>
      <c r="J537" s="7"/>
      <c r="K537" s="7"/>
    </row>
    <row r="538" spans="4:11" ht="12.75">
      <c r="D538" s="4"/>
      <c r="E538" s="7"/>
      <c r="F538" s="7"/>
      <c r="G538" s="7"/>
      <c r="H538" s="7"/>
      <c r="I538" s="7"/>
      <c r="J538" s="7"/>
      <c r="K538" s="7"/>
    </row>
    <row r="539" spans="4:11" ht="12.75">
      <c r="D539" s="4"/>
      <c r="E539" s="7"/>
      <c r="F539" s="7"/>
      <c r="G539" s="7"/>
      <c r="H539" s="7"/>
      <c r="I539" s="7"/>
      <c r="J539" s="7"/>
      <c r="K539" s="7"/>
    </row>
    <row r="540" spans="4:11" ht="12.75">
      <c r="D540" s="4"/>
      <c r="E540" s="7"/>
      <c r="F540" s="7"/>
      <c r="G540" s="7"/>
      <c r="H540" s="7"/>
      <c r="I540" s="7"/>
      <c r="J540" s="7"/>
      <c r="K540" s="7"/>
    </row>
    <row r="541" spans="4:11" ht="12.75">
      <c r="D541" s="4"/>
      <c r="E541" s="7"/>
      <c r="F541" s="7"/>
      <c r="G541" s="7"/>
      <c r="H541" s="7"/>
      <c r="I541" s="7"/>
      <c r="J541" s="7"/>
      <c r="K541" s="7"/>
    </row>
    <row r="542" spans="4:11" ht="12.75">
      <c r="D542" s="4"/>
      <c r="E542" s="7"/>
      <c r="F542" s="7"/>
      <c r="G542" s="7"/>
      <c r="H542" s="7"/>
      <c r="I542" s="7"/>
      <c r="J542" s="7"/>
      <c r="K542" s="7"/>
    </row>
    <row r="543" spans="4:11" ht="12.75">
      <c r="D543" s="4"/>
      <c r="E543" s="7"/>
      <c r="F543" s="7"/>
      <c r="G543" s="7"/>
      <c r="H543" s="7"/>
      <c r="I543" s="7"/>
      <c r="J543" s="7"/>
      <c r="K543" s="7"/>
    </row>
    <row r="544" spans="4:11" ht="12.75">
      <c r="D544" s="4"/>
      <c r="E544" s="7"/>
      <c r="F544" s="7"/>
      <c r="G544" s="7"/>
      <c r="H544" s="7"/>
      <c r="I544" s="7"/>
      <c r="J544" s="7"/>
      <c r="K544" s="7"/>
    </row>
    <row r="545" spans="4:11" ht="12.75">
      <c r="D545" s="4"/>
      <c r="E545" s="7"/>
      <c r="F545" s="7"/>
      <c r="G545" s="7"/>
      <c r="H545" s="7"/>
      <c r="I545" s="7"/>
      <c r="J545" s="7"/>
      <c r="K545" s="7"/>
    </row>
    <row r="546" spans="4:11" ht="12.75">
      <c r="D546" s="4"/>
      <c r="E546" s="7"/>
      <c r="F546" s="7"/>
      <c r="G546" s="7"/>
      <c r="H546" s="7"/>
      <c r="I546" s="7"/>
      <c r="J546" s="7"/>
      <c r="K546" s="7"/>
    </row>
    <row r="547" spans="4:11" ht="12.75">
      <c r="D547" s="4"/>
      <c r="E547" s="7"/>
      <c r="F547" s="7"/>
      <c r="G547" s="7"/>
      <c r="H547" s="7"/>
      <c r="I547" s="7"/>
      <c r="J547" s="7"/>
      <c r="K547" s="7"/>
    </row>
    <row r="548" spans="4:11" ht="12.75">
      <c r="D548" s="4"/>
      <c r="E548" s="7"/>
      <c r="F548" s="7"/>
      <c r="G548" s="7"/>
      <c r="H548" s="7"/>
      <c r="I548" s="7"/>
      <c r="J548" s="7"/>
      <c r="K548" s="7"/>
    </row>
    <row r="549" spans="4:11" ht="12.75">
      <c r="D549" s="4"/>
      <c r="E549" s="7"/>
      <c r="F549" s="7"/>
      <c r="G549" s="7"/>
      <c r="H549" s="7"/>
      <c r="I549" s="7"/>
      <c r="J549" s="7"/>
      <c r="K549" s="7"/>
    </row>
    <row r="550" spans="4:11" ht="12.75">
      <c r="D550" s="4"/>
      <c r="E550" s="7"/>
      <c r="F550" s="7"/>
      <c r="G550" s="7"/>
      <c r="H550" s="7"/>
      <c r="I550" s="7"/>
      <c r="J550" s="7"/>
      <c r="K550" s="7"/>
    </row>
    <row r="551" spans="4:11" ht="12.75">
      <c r="D551" s="4"/>
      <c r="E551" s="7"/>
      <c r="F551" s="7"/>
      <c r="G551" s="7"/>
      <c r="H551" s="7"/>
      <c r="I551" s="7"/>
      <c r="J551" s="7"/>
      <c r="K551" s="7"/>
    </row>
    <row r="552" spans="4:11" ht="12.75">
      <c r="D552" s="4"/>
      <c r="E552" s="7"/>
      <c r="F552" s="7"/>
      <c r="G552" s="7"/>
      <c r="H552" s="7"/>
      <c r="I552" s="7"/>
      <c r="J552" s="7"/>
      <c r="K552" s="7"/>
    </row>
    <row r="553" spans="4:11" ht="12.75">
      <c r="D553" s="4"/>
      <c r="E553" s="7"/>
      <c r="F553" s="7"/>
      <c r="G553" s="7"/>
      <c r="H553" s="7"/>
      <c r="I553" s="7"/>
      <c r="J553" s="7"/>
      <c r="K553" s="7"/>
    </row>
    <row r="554" spans="4:11" ht="12.75">
      <c r="D554" s="4"/>
      <c r="E554" s="7"/>
      <c r="F554" s="7"/>
      <c r="G554" s="7"/>
      <c r="H554" s="7"/>
      <c r="I554" s="7"/>
      <c r="J554" s="7"/>
      <c r="K554" s="7"/>
    </row>
    <row r="555" spans="4:11" ht="12.75">
      <c r="D555" s="4"/>
      <c r="E555" s="7"/>
      <c r="F555" s="7"/>
      <c r="G555" s="7"/>
      <c r="H555" s="7"/>
      <c r="I555" s="7"/>
      <c r="J555" s="7"/>
      <c r="K555" s="7"/>
    </row>
    <row r="556" spans="4:11" ht="12.75">
      <c r="D556" s="4"/>
      <c r="E556" s="7"/>
      <c r="F556" s="7"/>
      <c r="G556" s="7"/>
      <c r="H556" s="7"/>
      <c r="I556" s="7"/>
      <c r="J556" s="7"/>
      <c r="K556" s="7"/>
    </row>
    <row r="557" spans="4:11" ht="12.75">
      <c r="D557" s="4"/>
      <c r="E557" s="7"/>
      <c r="F557" s="7"/>
      <c r="G557" s="7"/>
      <c r="H557" s="7"/>
      <c r="I557" s="7"/>
      <c r="J557" s="7"/>
      <c r="K557" s="7"/>
    </row>
    <row r="558" spans="4:11" ht="12.75">
      <c r="D558" s="4"/>
      <c r="E558" s="7"/>
      <c r="F558" s="7"/>
      <c r="G558" s="7"/>
      <c r="H558" s="7"/>
      <c r="I558" s="7"/>
      <c r="J558" s="7"/>
      <c r="K558" s="7"/>
    </row>
    <row r="559" spans="4:11" ht="12.75">
      <c r="D559" s="4"/>
      <c r="E559" s="7"/>
      <c r="F559" s="7"/>
      <c r="G559" s="7"/>
      <c r="H559" s="7"/>
      <c r="I559" s="7"/>
      <c r="J559" s="7"/>
      <c r="K559" s="7"/>
    </row>
    <row r="560" spans="4:11" ht="12.75">
      <c r="D560" s="4"/>
      <c r="E560" s="7"/>
      <c r="F560" s="7"/>
      <c r="G560" s="7"/>
      <c r="H560" s="7"/>
      <c r="I560" s="7"/>
      <c r="J560" s="7"/>
      <c r="K560" s="7"/>
    </row>
    <row r="561" spans="4:11" ht="12.75">
      <c r="D561" s="4"/>
      <c r="E561" s="7"/>
      <c r="F561" s="7"/>
      <c r="G561" s="7"/>
      <c r="H561" s="7"/>
      <c r="I561" s="7"/>
      <c r="J561" s="7"/>
      <c r="K561" s="7"/>
    </row>
    <row r="562" spans="4:11" ht="12.75">
      <c r="D562" s="4"/>
      <c r="E562" s="7"/>
      <c r="F562" s="7"/>
      <c r="G562" s="7"/>
      <c r="H562" s="7"/>
      <c r="I562" s="7"/>
      <c r="J562" s="7"/>
      <c r="K562" s="7"/>
    </row>
    <row r="563" spans="4:11" ht="12.75">
      <c r="D563" s="4"/>
      <c r="E563" s="7"/>
      <c r="F563" s="7"/>
      <c r="G563" s="7"/>
      <c r="H563" s="7"/>
      <c r="I563" s="7"/>
      <c r="J563" s="7"/>
      <c r="K563" s="7"/>
    </row>
    <row r="564" spans="4:11" ht="12.75">
      <c r="D564" s="4"/>
      <c r="E564" s="7"/>
      <c r="F564" s="7"/>
      <c r="G564" s="7"/>
      <c r="H564" s="7"/>
      <c r="I564" s="7"/>
      <c r="J564" s="7"/>
      <c r="K564" s="7"/>
    </row>
    <row r="565" spans="4:11" ht="12.75">
      <c r="D565" s="4"/>
      <c r="E565" s="7"/>
      <c r="F565" s="7"/>
      <c r="G565" s="7"/>
      <c r="H565" s="7"/>
      <c r="I565" s="7"/>
      <c r="J565" s="7"/>
      <c r="K565" s="7"/>
    </row>
    <row r="566" spans="4:11" ht="12.75">
      <c r="D566" s="4"/>
      <c r="E566" s="7"/>
      <c r="F566" s="7"/>
      <c r="G566" s="7"/>
      <c r="H566" s="7"/>
      <c r="I566" s="7"/>
      <c r="J566" s="7"/>
      <c r="K566" s="7"/>
    </row>
    <row r="567" spans="4:11" ht="12.75">
      <c r="D567" s="4"/>
      <c r="E567" s="7"/>
      <c r="F567" s="7"/>
      <c r="G567" s="7"/>
      <c r="H567" s="7"/>
      <c r="I567" s="7"/>
      <c r="J567" s="7"/>
      <c r="K567" s="7"/>
    </row>
    <row r="568" spans="4:11" ht="12.75">
      <c r="D568" s="4"/>
      <c r="E568" s="7"/>
      <c r="F568" s="7"/>
      <c r="G568" s="7"/>
      <c r="H568" s="7"/>
      <c r="I568" s="7"/>
      <c r="J568" s="7"/>
      <c r="K568" s="7"/>
    </row>
    <row r="569" spans="4:11" ht="12.75">
      <c r="D569" s="4"/>
      <c r="E569" s="7"/>
      <c r="F569" s="7"/>
      <c r="G569" s="7"/>
      <c r="H569" s="7"/>
      <c r="I569" s="7"/>
      <c r="J569" s="7"/>
      <c r="K569" s="7"/>
    </row>
    <row r="570" spans="4:11" ht="12.75">
      <c r="D570" s="4"/>
      <c r="E570" s="7"/>
      <c r="F570" s="7"/>
      <c r="G570" s="7"/>
      <c r="H570" s="7"/>
      <c r="I570" s="7"/>
      <c r="J570" s="7"/>
      <c r="K570" s="7"/>
    </row>
    <row r="571" spans="4:11" ht="12.75">
      <c r="D571" s="4"/>
      <c r="E571" s="7"/>
      <c r="F571" s="7"/>
      <c r="G571" s="7"/>
      <c r="H571" s="7"/>
      <c r="I571" s="7"/>
      <c r="J571" s="7"/>
      <c r="K571" s="7"/>
    </row>
    <row r="572" spans="4:11" ht="12.75">
      <c r="D572" s="4"/>
      <c r="E572" s="7"/>
      <c r="F572" s="7"/>
      <c r="G572" s="7"/>
      <c r="H572" s="7"/>
      <c r="I572" s="7"/>
      <c r="J572" s="7"/>
      <c r="K572" s="7"/>
    </row>
    <row r="573" spans="4:11" ht="12.75">
      <c r="D573" s="4"/>
      <c r="E573" s="7"/>
      <c r="F573" s="7"/>
      <c r="G573" s="7"/>
      <c r="H573" s="7"/>
      <c r="I573" s="7"/>
      <c r="J573" s="7"/>
      <c r="K573" s="7"/>
    </row>
    <row r="574" spans="4:11" ht="12.75">
      <c r="D574" s="4"/>
      <c r="E574" s="7"/>
      <c r="F574" s="7"/>
      <c r="G574" s="7"/>
      <c r="H574" s="7"/>
      <c r="I574" s="7"/>
      <c r="J574" s="7"/>
      <c r="K574" s="7"/>
    </row>
    <row r="575" spans="4:11" ht="12.75">
      <c r="D575" s="4"/>
      <c r="E575" s="7"/>
      <c r="F575" s="7"/>
      <c r="G575" s="7"/>
      <c r="H575" s="7"/>
      <c r="I575" s="7"/>
      <c r="J575" s="7"/>
      <c r="K575" s="7"/>
    </row>
    <row r="576" spans="4:11" ht="12.75">
      <c r="D576" s="4"/>
      <c r="E576" s="7"/>
      <c r="F576" s="7"/>
      <c r="G576" s="7"/>
      <c r="H576" s="7"/>
      <c r="I576" s="7"/>
      <c r="J576" s="7"/>
      <c r="K576" s="7"/>
    </row>
    <row r="577" spans="4:11" ht="12.75">
      <c r="D577" s="4"/>
      <c r="E577" s="7"/>
      <c r="F577" s="7"/>
      <c r="G577" s="7"/>
      <c r="H577" s="7"/>
      <c r="I577" s="7"/>
      <c r="J577" s="7"/>
      <c r="K577" s="7"/>
    </row>
    <row r="578" spans="4:11" ht="12.75">
      <c r="D578" s="4"/>
      <c r="E578" s="7"/>
      <c r="F578" s="7"/>
      <c r="G578" s="7"/>
      <c r="H578" s="7"/>
      <c r="I578" s="7"/>
      <c r="J578" s="7"/>
      <c r="K578" s="7"/>
    </row>
    <row r="579" spans="4:11" ht="12.75">
      <c r="D579" s="4"/>
      <c r="E579" s="7"/>
      <c r="F579" s="7"/>
      <c r="G579" s="7"/>
      <c r="H579" s="7"/>
      <c r="I579" s="7"/>
      <c r="J579" s="7"/>
      <c r="K579" s="7"/>
    </row>
    <row r="580" spans="4:11" ht="12.75">
      <c r="D580" s="4"/>
      <c r="E580" s="7"/>
      <c r="F580" s="7"/>
      <c r="G580" s="7"/>
      <c r="H580" s="7"/>
      <c r="I580" s="7"/>
      <c r="J580" s="7"/>
      <c r="K580" s="7"/>
    </row>
    <row r="581" spans="4:11" ht="12.75">
      <c r="D581" s="4"/>
      <c r="E581" s="7"/>
      <c r="F581" s="7"/>
      <c r="G581" s="7"/>
      <c r="H581" s="7"/>
      <c r="I581" s="7"/>
      <c r="J581" s="7"/>
      <c r="K581" s="7"/>
    </row>
    <row r="582" spans="4:11" ht="12.75">
      <c r="D582" s="4"/>
      <c r="E582" s="7"/>
      <c r="F582" s="7"/>
      <c r="G582" s="7"/>
      <c r="H582" s="7"/>
      <c r="I582" s="7"/>
      <c r="J582" s="7"/>
      <c r="K582" s="7"/>
    </row>
    <row r="583" spans="4:11" ht="12.75">
      <c r="D583" s="4"/>
      <c r="E583" s="7"/>
      <c r="F583" s="7"/>
      <c r="G583" s="7"/>
      <c r="H583" s="7"/>
      <c r="I583" s="7"/>
      <c r="J583" s="7"/>
      <c r="K583" s="7"/>
    </row>
    <row r="584" spans="4:11" ht="12.75">
      <c r="D584" s="4"/>
      <c r="E584" s="7"/>
      <c r="F584" s="7"/>
      <c r="G584" s="7"/>
      <c r="H584" s="7"/>
      <c r="I584" s="7"/>
      <c r="J584" s="7"/>
      <c r="K584" s="7"/>
    </row>
    <row r="585" spans="4:11" ht="12.75">
      <c r="D585" s="4"/>
      <c r="E585" s="7"/>
      <c r="F585" s="7"/>
      <c r="G585" s="7"/>
      <c r="H585" s="7"/>
      <c r="I585" s="7"/>
      <c r="J585" s="7"/>
      <c r="K585" s="7"/>
    </row>
    <row r="586" spans="4:11" ht="12.75">
      <c r="D586" s="4"/>
      <c r="E586" s="7"/>
      <c r="F586" s="7"/>
      <c r="G586" s="7"/>
      <c r="H586" s="7"/>
      <c r="I586" s="7"/>
      <c r="J586" s="7"/>
      <c r="K586" s="7"/>
    </row>
    <row r="587" spans="4:11" ht="12.75">
      <c r="D587" s="4"/>
      <c r="E587" s="7"/>
      <c r="F587" s="7"/>
      <c r="G587" s="7"/>
      <c r="H587" s="7"/>
      <c r="I587" s="7"/>
      <c r="J587" s="7"/>
      <c r="K587" s="7"/>
    </row>
    <row r="588" spans="4:11" ht="12.75">
      <c r="D588" s="4"/>
      <c r="E588" s="7"/>
      <c r="F588" s="7"/>
      <c r="G588" s="7"/>
      <c r="H588" s="7"/>
      <c r="I588" s="7"/>
      <c r="J588" s="7"/>
      <c r="K588" s="7"/>
    </row>
    <row r="589" spans="4:11" ht="12.75">
      <c r="D589" s="4"/>
      <c r="E589" s="7"/>
      <c r="F589" s="7"/>
      <c r="G589" s="7"/>
      <c r="H589" s="7"/>
      <c r="I589" s="7"/>
      <c r="J589" s="7"/>
      <c r="K589" s="7"/>
    </row>
    <row r="590" spans="4:11" ht="12.75">
      <c r="D590" s="4"/>
      <c r="E590" s="7"/>
      <c r="F590" s="7"/>
      <c r="G590" s="7"/>
      <c r="H590" s="7"/>
      <c r="I590" s="7"/>
      <c r="J590" s="7"/>
      <c r="K590" s="7"/>
    </row>
    <row r="591" spans="4:11" ht="12.75">
      <c r="D591" s="4"/>
      <c r="E591" s="7"/>
      <c r="F591" s="7"/>
      <c r="G591" s="7"/>
      <c r="H591" s="7"/>
      <c r="I591" s="7"/>
      <c r="J591" s="7"/>
      <c r="K591" s="7"/>
    </row>
    <row r="592" spans="4:11" ht="12.75">
      <c r="D592" s="4"/>
      <c r="E592" s="7"/>
      <c r="F592" s="7"/>
      <c r="G592" s="7"/>
      <c r="H592" s="7"/>
      <c r="I592" s="7"/>
      <c r="J592" s="7"/>
      <c r="K592" s="7"/>
    </row>
    <row r="593" spans="4:11" ht="12.75">
      <c r="D593" s="4"/>
      <c r="E593" s="7"/>
      <c r="F593" s="7"/>
      <c r="G593" s="7"/>
      <c r="H593" s="7"/>
      <c r="I593" s="7"/>
      <c r="J593" s="7"/>
      <c r="K593" s="7"/>
    </row>
    <row r="594" spans="4:11" ht="12.75">
      <c r="D594" s="4"/>
      <c r="E594" s="7"/>
      <c r="F594" s="7"/>
      <c r="G594" s="7"/>
      <c r="H594" s="7"/>
      <c r="I594" s="7"/>
      <c r="J594" s="7"/>
      <c r="K594" s="7"/>
    </row>
    <row r="595" spans="4:11" ht="12.75">
      <c r="D595" s="4"/>
      <c r="E595" s="7"/>
      <c r="F595" s="7"/>
      <c r="G595" s="7"/>
      <c r="H595" s="7"/>
      <c r="I595" s="7"/>
      <c r="J595" s="7"/>
      <c r="K595" s="7"/>
    </row>
    <row r="596" spans="4:11" ht="12.75">
      <c r="D596" s="4"/>
      <c r="E596" s="7"/>
      <c r="F596" s="7"/>
      <c r="G596" s="7"/>
      <c r="H596" s="7"/>
      <c r="I596" s="7"/>
      <c r="J596" s="7"/>
      <c r="K596" s="7"/>
    </row>
    <row r="597" spans="4:11" ht="12.75">
      <c r="D597" s="4"/>
      <c r="E597" s="7"/>
      <c r="F597" s="7"/>
      <c r="G597" s="7"/>
      <c r="H597" s="7"/>
      <c r="I597" s="7"/>
      <c r="J597" s="7"/>
      <c r="K597" s="7"/>
    </row>
    <row r="598" spans="4:11" ht="12.75">
      <c r="D598" s="4"/>
      <c r="E598" s="7"/>
      <c r="F598" s="7"/>
      <c r="G598" s="7"/>
      <c r="H598" s="7"/>
      <c r="I598" s="7"/>
      <c r="J598" s="7"/>
      <c r="K598" s="7"/>
    </row>
    <row r="599" spans="4:11" ht="12.75">
      <c r="D599" s="4"/>
      <c r="E599" s="7"/>
      <c r="F599" s="7"/>
      <c r="G599" s="7"/>
      <c r="H599" s="7"/>
      <c r="I599" s="7"/>
      <c r="J599" s="7"/>
      <c r="K599" s="7"/>
    </row>
    <row r="600" spans="4:11" ht="12.75">
      <c r="D600" s="4"/>
      <c r="E600" s="7"/>
      <c r="F600" s="7"/>
      <c r="G600" s="7"/>
      <c r="H600" s="7"/>
      <c r="I600" s="7"/>
      <c r="J600" s="7"/>
      <c r="K600" s="7"/>
    </row>
    <row r="601" spans="4:11" ht="12.75">
      <c r="D601" s="4"/>
      <c r="E601" s="7"/>
      <c r="F601" s="7"/>
      <c r="G601" s="7"/>
      <c r="H601" s="7"/>
      <c r="I601" s="7"/>
      <c r="J601" s="7"/>
      <c r="K601" s="7"/>
    </row>
    <row r="602" spans="4:11" ht="12.75">
      <c r="D602" s="4"/>
      <c r="E602" s="7"/>
      <c r="F602" s="7"/>
      <c r="G602" s="7"/>
      <c r="H602" s="7"/>
      <c r="I602" s="7"/>
      <c r="J602" s="7"/>
      <c r="K602" s="7"/>
    </row>
    <row r="603" spans="4:11" ht="12.75">
      <c r="D603" s="4"/>
      <c r="E603" s="7"/>
      <c r="F603" s="7"/>
      <c r="G603" s="7"/>
      <c r="H603" s="7"/>
      <c r="I603" s="7"/>
      <c r="J603" s="7"/>
      <c r="K603" s="7"/>
    </row>
    <row r="604" spans="4:11" ht="12.75">
      <c r="D604" s="4"/>
      <c r="E604" s="7"/>
      <c r="F604" s="7"/>
      <c r="G604" s="7"/>
      <c r="H604" s="7"/>
      <c r="I604" s="7"/>
      <c r="J604" s="7"/>
      <c r="K604" s="7"/>
    </row>
    <row r="605" spans="4:11" ht="12.75">
      <c r="D605" s="4"/>
      <c r="E605" s="7"/>
      <c r="F605" s="7"/>
      <c r="G605" s="7"/>
      <c r="H605" s="7"/>
      <c r="I605" s="7"/>
      <c r="J605" s="7"/>
      <c r="K605" s="7"/>
    </row>
    <row r="606" spans="4:11" ht="12.75">
      <c r="D606" s="4"/>
      <c r="E606" s="7"/>
      <c r="F606" s="7"/>
      <c r="G606" s="7"/>
      <c r="H606" s="7"/>
      <c r="I606" s="7"/>
      <c r="J606" s="7"/>
      <c r="K606" s="7"/>
    </row>
    <row r="607" spans="4:11" ht="12.75">
      <c r="D607" s="4"/>
      <c r="E607" s="7"/>
      <c r="F607" s="7"/>
      <c r="G607" s="7"/>
      <c r="H607" s="7"/>
      <c r="I607" s="7"/>
      <c r="J607" s="7"/>
      <c r="K607" s="7"/>
    </row>
    <row r="608" spans="4:11" ht="12.75">
      <c r="D608" s="4"/>
      <c r="E608" s="7"/>
      <c r="F608" s="7"/>
      <c r="G608" s="7"/>
      <c r="H608" s="7"/>
      <c r="I608" s="7"/>
      <c r="J608" s="7"/>
      <c r="K608" s="7"/>
    </row>
    <row r="609" spans="4:11" ht="12.75">
      <c r="D609" s="4"/>
      <c r="E609" s="7"/>
      <c r="F609" s="7"/>
      <c r="G609" s="7"/>
      <c r="H609" s="7"/>
      <c r="I609" s="7"/>
      <c r="J609" s="7"/>
      <c r="K609" s="7"/>
    </row>
    <row r="610" spans="4:11" ht="12.75">
      <c r="D610" s="4"/>
      <c r="E610" s="7"/>
      <c r="F610" s="7"/>
      <c r="G610" s="7"/>
      <c r="H610" s="7"/>
      <c r="I610" s="7"/>
      <c r="J610" s="7"/>
      <c r="K610" s="7"/>
    </row>
    <row r="611" spans="4:11" ht="12.75">
      <c r="D611" s="4"/>
      <c r="E611" s="7"/>
      <c r="F611" s="7"/>
      <c r="G611" s="7"/>
      <c r="H611" s="7"/>
      <c r="I611" s="7"/>
      <c r="J611" s="7"/>
      <c r="K611" s="7"/>
    </row>
    <row r="612" spans="4:11" ht="12.75">
      <c r="D612" s="4"/>
      <c r="E612" s="7"/>
      <c r="F612" s="7"/>
      <c r="G612" s="7"/>
      <c r="H612" s="7"/>
      <c r="I612" s="7"/>
      <c r="J612" s="7"/>
      <c r="K612" s="7"/>
    </row>
    <row r="613" spans="4:11" ht="12.75">
      <c r="D613" s="4"/>
      <c r="E613" s="7"/>
      <c r="F613" s="7"/>
      <c r="G613" s="7"/>
      <c r="H613" s="7"/>
      <c r="I613" s="7"/>
      <c r="J613" s="7"/>
      <c r="K613" s="7"/>
    </row>
    <row r="614" spans="4:11" ht="12.75">
      <c r="D614" s="4"/>
      <c r="E614" s="7"/>
      <c r="F614" s="7"/>
      <c r="G614" s="7"/>
      <c r="H614" s="7"/>
      <c r="I614" s="7"/>
      <c r="J614" s="7"/>
      <c r="K614" s="7"/>
    </row>
    <row r="615" spans="4:11" ht="12.75">
      <c r="D615" s="4"/>
      <c r="E615" s="7"/>
      <c r="F615" s="7"/>
      <c r="G615" s="7"/>
      <c r="H615" s="7"/>
      <c r="I615" s="7"/>
      <c r="J615" s="7"/>
      <c r="K615" s="7"/>
    </row>
    <row r="616" spans="4:11" ht="12.75">
      <c r="D616" s="4"/>
      <c r="E616" s="7"/>
      <c r="F616" s="7"/>
      <c r="G616" s="7"/>
      <c r="H616" s="7"/>
      <c r="I616" s="7"/>
      <c r="J616" s="7"/>
      <c r="K616" s="7"/>
    </row>
    <row r="617" spans="4:11" ht="12.75">
      <c r="D617" s="4"/>
      <c r="E617" s="7"/>
      <c r="F617" s="7"/>
      <c r="G617" s="7"/>
      <c r="H617" s="7"/>
      <c r="I617" s="7"/>
      <c r="J617" s="7"/>
      <c r="K617" s="7"/>
    </row>
    <row r="618" spans="4:11" ht="12.75">
      <c r="D618" s="4"/>
      <c r="E618" s="7"/>
      <c r="F618" s="7"/>
      <c r="G618" s="7"/>
      <c r="H618" s="7"/>
      <c r="I618" s="7"/>
      <c r="J618" s="7"/>
      <c r="K618" s="7"/>
    </row>
    <row r="619" spans="4:11" ht="12.75">
      <c r="D619" s="4"/>
      <c r="E619" s="7"/>
      <c r="F619" s="7"/>
      <c r="G619" s="7"/>
      <c r="H619" s="7"/>
      <c r="I619" s="7"/>
      <c r="J619" s="7"/>
      <c r="K619" s="7"/>
    </row>
    <row r="620" spans="4:11" ht="12.75">
      <c r="D620" s="4"/>
      <c r="E620" s="7"/>
      <c r="F620" s="7"/>
      <c r="G620" s="7"/>
      <c r="H620" s="7"/>
      <c r="I620" s="7"/>
      <c r="J620" s="7"/>
      <c r="K620" s="7"/>
    </row>
    <row r="621" spans="4:11" ht="12.75">
      <c r="D621" s="4"/>
      <c r="E621" s="7"/>
      <c r="F621" s="7"/>
      <c r="G621" s="7"/>
      <c r="H621" s="7"/>
      <c r="I621" s="7"/>
      <c r="J621" s="7"/>
      <c r="K621" s="7"/>
    </row>
    <row r="622" spans="4:11" ht="12.75">
      <c r="D622" s="4"/>
      <c r="E622" s="7"/>
      <c r="F622" s="7"/>
      <c r="G622" s="7"/>
      <c r="H622" s="7"/>
      <c r="I622" s="7"/>
      <c r="J622" s="7"/>
      <c r="K622" s="7"/>
    </row>
    <row r="623" spans="4:11" ht="12.75">
      <c r="D623" s="4"/>
      <c r="E623" s="7"/>
      <c r="F623" s="7"/>
      <c r="G623" s="7"/>
      <c r="H623" s="7"/>
      <c r="I623" s="7"/>
      <c r="J623" s="7"/>
      <c r="K623" s="7"/>
    </row>
    <row r="624" spans="4:11" ht="12.75">
      <c r="D624" s="4"/>
      <c r="E624" s="7"/>
      <c r="F624" s="7"/>
      <c r="G624" s="7"/>
      <c r="H624" s="7"/>
      <c r="I624" s="7"/>
      <c r="J624" s="7"/>
      <c r="K624" s="7"/>
    </row>
    <row r="625" spans="4:11" ht="12.75">
      <c r="D625" s="4"/>
      <c r="E625" s="7"/>
      <c r="F625" s="7"/>
      <c r="G625" s="7"/>
      <c r="H625" s="7"/>
      <c r="I625" s="7"/>
      <c r="J625" s="7"/>
      <c r="K625" s="7"/>
    </row>
    <row r="626" spans="4:11" ht="12.75">
      <c r="D626" s="4"/>
      <c r="E626" s="7"/>
      <c r="F626" s="7"/>
      <c r="G626" s="7"/>
      <c r="H626" s="7"/>
      <c r="I626" s="7"/>
      <c r="J626" s="7"/>
      <c r="K626" s="7"/>
    </row>
    <row r="627" spans="4:11" ht="12.75">
      <c r="D627" s="4"/>
      <c r="E627" s="7"/>
      <c r="F627" s="7"/>
      <c r="G627" s="7"/>
      <c r="H627" s="7"/>
      <c r="I627" s="7"/>
      <c r="J627" s="7"/>
      <c r="K627" s="7"/>
    </row>
    <row r="628" spans="4:11" ht="12.75">
      <c r="D628" s="4"/>
      <c r="E628" s="7"/>
      <c r="F628" s="7"/>
      <c r="G628" s="7"/>
      <c r="H628" s="7"/>
      <c r="I628" s="7"/>
      <c r="J628" s="7"/>
      <c r="K628" s="7"/>
    </row>
    <row r="629" spans="4:11" ht="12.75">
      <c r="D629" s="4"/>
      <c r="E629" s="7"/>
      <c r="F629" s="7"/>
      <c r="G629" s="7"/>
      <c r="H629" s="7"/>
      <c r="I629" s="7"/>
      <c r="J629" s="7"/>
      <c r="K629" s="7"/>
    </row>
    <row r="630" spans="4:11" ht="12.75">
      <c r="D630" s="4"/>
      <c r="E630" s="7"/>
      <c r="F630" s="7"/>
      <c r="G630" s="7"/>
      <c r="H630" s="7"/>
      <c r="I630" s="7"/>
      <c r="J630" s="7"/>
      <c r="K630" s="7"/>
    </row>
    <row r="631" spans="4:11" ht="12.75">
      <c r="D631" s="4"/>
      <c r="E631" s="7"/>
      <c r="F631" s="7"/>
      <c r="G631" s="7"/>
      <c r="H631" s="7"/>
      <c r="I631" s="7"/>
      <c r="J631" s="7"/>
      <c r="K631" s="7"/>
    </row>
    <row r="632" spans="4:11" ht="12.75">
      <c r="D632" s="4"/>
      <c r="E632" s="7"/>
      <c r="F632" s="7"/>
      <c r="G632" s="7"/>
      <c r="H632" s="7"/>
      <c r="I632" s="7"/>
      <c r="J632" s="7"/>
      <c r="K632" s="7"/>
    </row>
    <row r="633" spans="4:11" ht="12.75">
      <c r="D633" s="4"/>
      <c r="E633" s="7"/>
      <c r="F633" s="7"/>
      <c r="G633" s="7"/>
      <c r="H633" s="7"/>
      <c r="I633" s="7"/>
      <c r="J633" s="7"/>
      <c r="K633" s="7"/>
    </row>
    <row r="634" spans="4:11" ht="12.75">
      <c r="D634" s="4"/>
      <c r="E634" s="7"/>
      <c r="F634" s="7"/>
      <c r="G634" s="7"/>
      <c r="H634" s="7"/>
      <c r="I634" s="7"/>
      <c r="J634" s="7"/>
      <c r="K634" s="7"/>
    </row>
    <row r="635" spans="4:11" ht="12.75">
      <c r="D635" s="4"/>
      <c r="E635" s="7"/>
      <c r="F635" s="7"/>
      <c r="G635" s="7"/>
      <c r="H635" s="7"/>
      <c r="I635" s="7"/>
      <c r="J635" s="7"/>
      <c r="K635" s="7"/>
    </row>
    <row r="636" spans="4:11" ht="12.75">
      <c r="D636" s="4"/>
      <c r="E636" s="7"/>
      <c r="F636" s="7"/>
      <c r="G636" s="7"/>
      <c r="H636" s="7"/>
      <c r="I636" s="7"/>
      <c r="J636" s="7"/>
      <c r="K636" s="7"/>
    </row>
    <row r="637" spans="4:11" ht="12.75">
      <c r="D637" s="4"/>
      <c r="E637" s="7"/>
      <c r="F637" s="7"/>
      <c r="G637" s="7"/>
      <c r="H637" s="7"/>
      <c r="I637" s="7"/>
      <c r="J637" s="7"/>
      <c r="K637" s="7"/>
    </row>
    <row r="638" spans="4:11" ht="12.75">
      <c r="D638" s="4"/>
      <c r="E638" s="7"/>
      <c r="F638" s="7"/>
      <c r="G638" s="7"/>
      <c r="H638" s="7"/>
      <c r="I638" s="7"/>
      <c r="J638" s="7"/>
      <c r="K638" s="7"/>
    </row>
    <row r="639" spans="4:11" ht="12.75">
      <c r="D639" s="4"/>
      <c r="E639" s="7"/>
      <c r="F639" s="7"/>
      <c r="G639" s="7"/>
      <c r="H639" s="7"/>
      <c r="I639" s="7"/>
      <c r="J639" s="7"/>
      <c r="K639" s="7"/>
    </row>
    <row r="640" spans="4:11" ht="12.75">
      <c r="D640" s="4"/>
      <c r="E640" s="7"/>
      <c r="F640" s="7"/>
      <c r="G640" s="7"/>
      <c r="H640" s="7"/>
      <c r="I640" s="7"/>
      <c r="J640" s="7"/>
      <c r="K640" s="7"/>
    </row>
    <row r="641" spans="4:11" ht="12.75">
      <c r="D641" s="4"/>
      <c r="E641" s="7"/>
      <c r="F641" s="7"/>
      <c r="G641" s="7"/>
      <c r="H641" s="7"/>
      <c r="I641" s="7"/>
      <c r="J641" s="7"/>
      <c r="K641" s="7"/>
    </row>
    <row r="642" spans="4:11" ht="12.75">
      <c r="D642" s="4"/>
      <c r="E642" s="7"/>
      <c r="F642" s="7"/>
      <c r="G642" s="7"/>
      <c r="H642" s="7"/>
      <c r="I642" s="7"/>
      <c r="J642" s="7"/>
      <c r="K642" s="7"/>
    </row>
    <row r="643" spans="4:11" ht="12.75">
      <c r="D643" s="4"/>
      <c r="E643" s="7"/>
      <c r="F643" s="7"/>
      <c r="G643" s="7"/>
      <c r="H643" s="7"/>
      <c r="I643" s="7"/>
      <c r="J643" s="7"/>
      <c r="K643" s="7"/>
    </row>
    <row r="644" spans="4:11" ht="12.75">
      <c r="D644" s="4"/>
      <c r="E644" s="7"/>
      <c r="F644" s="7"/>
      <c r="G644" s="7"/>
      <c r="H644" s="7"/>
      <c r="I644" s="7"/>
      <c r="J644" s="7"/>
      <c r="K644" s="7"/>
    </row>
    <row r="645" spans="4:11" ht="12.75">
      <c r="D645" s="4"/>
      <c r="E645" s="7"/>
      <c r="F645" s="7"/>
      <c r="G645" s="7"/>
      <c r="H645" s="7"/>
      <c r="I645" s="7"/>
      <c r="J645" s="7"/>
      <c r="K645" s="7"/>
    </row>
    <row r="646" spans="4:11" ht="12.75">
      <c r="D646" s="4"/>
      <c r="E646" s="7"/>
      <c r="F646" s="7"/>
      <c r="G646" s="7"/>
      <c r="H646" s="7"/>
      <c r="I646" s="7"/>
      <c r="J646" s="7"/>
      <c r="K646" s="7"/>
    </row>
    <row r="647" spans="4:11" ht="12.75">
      <c r="D647" s="4"/>
      <c r="E647" s="7"/>
      <c r="F647" s="7"/>
      <c r="G647" s="7"/>
      <c r="H647" s="7"/>
      <c r="I647" s="7"/>
      <c r="J647" s="7"/>
      <c r="K647" s="7"/>
    </row>
    <row r="648" spans="4:11" ht="12.75">
      <c r="D648" s="4"/>
      <c r="E648" s="7"/>
      <c r="F648" s="7"/>
      <c r="G648" s="7"/>
      <c r="H648" s="7"/>
      <c r="I648" s="7"/>
      <c r="J648" s="7"/>
      <c r="K648" s="7"/>
    </row>
    <row r="649" spans="4:11" ht="12.75">
      <c r="D649" s="4"/>
      <c r="E649" s="7"/>
      <c r="F649" s="7"/>
      <c r="G649" s="7"/>
      <c r="H649" s="7"/>
      <c r="I649" s="7"/>
      <c r="J649" s="7"/>
      <c r="K649" s="7"/>
    </row>
    <row r="650" spans="4:11" ht="12.75">
      <c r="D650" s="4"/>
      <c r="E650" s="7"/>
      <c r="F650" s="7"/>
      <c r="G650" s="7"/>
      <c r="H650" s="7"/>
      <c r="I650" s="7"/>
      <c r="J650" s="7"/>
      <c r="K650" s="7"/>
    </row>
    <row r="651" spans="4:11" ht="12.75">
      <c r="D651" s="4"/>
      <c r="E651" s="7"/>
      <c r="F651" s="7"/>
      <c r="G651" s="7"/>
      <c r="H651" s="7"/>
      <c r="I651" s="7"/>
      <c r="J651" s="7"/>
      <c r="K651" s="7"/>
    </row>
    <row r="652" spans="4:11" ht="12.75">
      <c r="D652" s="4"/>
      <c r="E652" s="7"/>
      <c r="F652" s="7"/>
      <c r="G652" s="7"/>
      <c r="H652" s="7"/>
      <c r="I652" s="7"/>
      <c r="J652" s="7"/>
      <c r="K652" s="7"/>
    </row>
    <row r="653" spans="4:11" ht="12.75">
      <c r="D653" s="4"/>
      <c r="E653" s="7"/>
      <c r="F653" s="7"/>
      <c r="G653" s="7"/>
      <c r="H653" s="7"/>
      <c r="I653" s="7"/>
      <c r="J653" s="7"/>
      <c r="K653" s="7"/>
    </row>
    <row r="654" spans="4:11" ht="12.75">
      <c r="D654" s="4"/>
      <c r="E654" s="7"/>
      <c r="F654" s="7"/>
      <c r="G654" s="7"/>
      <c r="H654" s="7"/>
      <c r="I654" s="7"/>
      <c r="J654" s="7"/>
      <c r="K654" s="7"/>
    </row>
    <row r="655" spans="4:11" ht="12.75">
      <c r="D655" s="4"/>
      <c r="E655" s="7"/>
      <c r="F655" s="7"/>
      <c r="G655" s="7"/>
      <c r="H655" s="7"/>
      <c r="I655" s="7"/>
      <c r="J655" s="7"/>
      <c r="K655" s="7"/>
    </row>
    <row r="656" spans="4:11" ht="12.75">
      <c r="D656" s="4"/>
      <c r="E656" s="7"/>
      <c r="F656" s="7"/>
      <c r="G656" s="7"/>
      <c r="H656" s="7"/>
      <c r="I656" s="7"/>
      <c r="J656" s="7"/>
      <c r="K656" s="7"/>
    </row>
    <row r="657" spans="4:11" ht="12.75">
      <c r="D657" s="4"/>
      <c r="E657" s="7"/>
      <c r="F657" s="7"/>
      <c r="G657" s="7"/>
      <c r="H657" s="7"/>
      <c r="I657" s="7"/>
      <c r="J657" s="7"/>
      <c r="K657" s="7"/>
    </row>
    <row r="658" spans="4:11" ht="12.75">
      <c r="D658" s="4"/>
      <c r="E658" s="7"/>
      <c r="F658" s="7"/>
      <c r="G658" s="7"/>
      <c r="H658" s="7"/>
      <c r="I658" s="7"/>
      <c r="J658" s="7"/>
      <c r="K658" s="7"/>
    </row>
    <row r="659" spans="4:11" ht="12.75">
      <c r="D659" s="4"/>
      <c r="E659" s="7"/>
      <c r="F659" s="7"/>
      <c r="G659" s="7"/>
      <c r="H659" s="7"/>
      <c r="I659" s="7"/>
      <c r="J659" s="7"/>
      <c r="K659" s="7"/>
    </row>
    <row r="660" spans="4:11" ht="12.75">
      <c r="D660" s="4"/>
      <c r="E660" s="7"/>
      <c r="F660" s="7"/>
      <c r="G660" s="7"/>
      <c r="H660" s="7"/>
      <c r="I660" s="7"/>
      <c r="J660" s="7"/>
      <c r="K660" s="7"/>
    </row>
    <row r="661" spans="4:11" ht="12.75">
      <c r="D661" s="4"/>
      <c r="E661" s="7"/>
      <c r="F661" s="7"/>
      <c r="G661" s="7"/>
      <c r="H661" s="7"/>
      <c r="I661" s="7"/>
      <c r="J661" s="7"/>
      <c r="K661" s="7"/>
    </row>
    <row r="662" spans="4:11" ht="12.75">
      <c r="D662" s="4"/>
      <c r="E662" s="7"/>
      <c r="F662" s="7"/>
      <c r="G662" s="7"/>
      <c r="H662" s="7"/>
      <c r="I662" s="7"/>
      <c r="J662" s="7"/>
      <c r="K662" s="7"/>
    </row>
    <row r="663" spans="4:11" ht="12.75">
      <c r="D663" s="4"/>
      <c r="E663" s="7"/>
      <c r="F663" s="7"/>
      <c r="G663" s="7"/>
      <c r="H663" s="7"/>
      <c r="I663" s="7"/>
      <c r="J663" s="7"/>
      <c r="K663" s="7"/>
    </row>
    <row r="664" spans="4:11" ht="12.75">
      <c r="D664" s="4"/>
      <c r="E664" s="7"/>
      <c r="F664" s="7"/>
      <c r="G664" s="7"/>
      <c r="H664" s="7"/>
      <c r="I664" s="7"/>
      <c r="J664" s="7"/>
      <c r="K664" s="7"/>
    </row>
    <row r="665" spans="4:11" ht="12.75">
      <c r="D665" s="4"/>
      <c r="E665" s="7"/>
      <c r="F665" s="7"/>
      <c r="G665" s="7"/>
      <c r="H665" s="7"/>
      <c r="I665" s="7"/>
      <c r="J665" s="7"/>
      <c r="K665" s="7"/>
    </row>
    <row r="666" spans="4:11" ht="12.75">
      <c r="D666" s="4"/>
      <c r="E666" s="7"/>
      <c r="F666" s="7"/>
      <c r="G666" s="7"/>
      <c r="H666" s="7"/>
      <c r="I666" s="7"/>
      <c r="J666" s="7"/>
      <c r="K666" s="7"/>
    </row>
    <row r="667" spans="4:11" ht="12.75">
      <c r="D667" s="4"/>
      <c r="E667" s="7"/>
      <c r="F667" s="7"/>
      <c r="G667" s="7"/>
      <c r="H667" s="7"/>
      <c r="I667" s="7"/>
      <c r="J667" s="7"/>
      <c r="K667" s="7"/>
    </row>
    <row r="668" spans="4:11" ht="12.75">
      <c r="D668" s="4"/>
      <c r="E668" s="7"/>
      <c r="F668" s="7"/>
      <c r="G668" s="7"/>
      <c r="H668" s="7"/>
      <c r="I668" s="7"/>
      <c r="J668" s="7"/>
      <c r="K668" s="7"/>
    </row>
    <row r="669" spans="4:11" ht="12.75">
      <c r="D669" s="4"/>
      <c r="E669" s="7"/>
      <c r="F669" s="7"/>
      <c r="G669" s="7"/>
      <c r="H669" s="7"/>
      <c r="I669" s="7"/>
      <c r="J669" s="7"/>
      <c r="K669" s="7"/>
    </row>
    <row r="670" spans="4:11" ht="12.75">
      <c r="D670" s="4"/>
      <c r="E670" s="7"/>
      <c r="F670" s="7"/>
      <c r="G670" s="7"/>
      <c r="H670" s="7"/>
      <c r="I670" s="7"/>
      <c r="J670" s="7"/>
      <c r="K670" s="7"/>
    </row>
    <row r="671" spans="4:11" ht="12.75">
      <c r="D671" s="4"/>
      <c r="E671" s="7"/>
      <c r="F671" s="7"/>
      <c r="G671" s="7"/>
      <c r="H671" s="7"/>
      <c r="I671" s="7"/>
      <c r="J671" s="7"/>
      <c r="K671" s="7"/>
    </row>
    <row r="672" spans="4:11" ht="12.75">
      <c r="D672" s="4"/>
      <c r="E672" s="7"/>
      <c r="F672" s="7"/>
      <c r="G672" s="7"/>
      <c r="H672" s="7"/>
      <c r="I672" s="7"/>
      <c r="J672" s="7"/>
      <c r="K672" s="7"/>
    </row>
    <row r="673" spans="4:11" ht="12.75">
      <c r="D673" s="4"/>
      <c r="E673" s="7"/>
      <c r="F673" s="7"/>
      <c r="G673" s="7"/>
      <c r="H673" s="7"/>
      <c r="I673" s="7"/>
      <c r="J673" s="7"/>
      <c r="K673" s="7"/>
    </row>
    <row r="674" spans="4:11" ht="12.75">
      <c r="D674" s="4"/>
      <c r="E674" s="7"/>
      <c r="F674" s="7"/>
      <c r="G674" s="7"/>
      <c r="H674" s="7"/>
      <c r="I674" s="7"/>
      <c r="J674" s="7"/>
      <c r="K674" s="7"/>
    </row>
    <row r="675" spans="4:11" ht="12.75">
      <c r="D675" s="4"/>
      <c r="E675" s="7"/>
      <c r="F675" s="7"/>
      <c r="G675" s="7"/>
      <c r="H675" s="7"/>
      <c r="I675" s="7"/>
      <c r="J675" s="7"/>
      <c r="K675" s="7"/>
    </row>
    <row r="676" spans="4:11" ht="12.75">
      <c r="D676" s="4"/>
      <c r="E676" s="7"/>
      <c r="F676" s="7"/>
      <c r="G676" s="7"/>
      <c r="H676" s="7"/>
      <c r="I676" s="7"/>
      <c r="J676" s="7"/>
      <c r="K676" s="7"/>
    </row>
    <row r="677" spans="4:11" ht="12.75">
      <c r="D677" s="4"/>
      <c r="E677" s="7"/>
      <c r="F677" s="7"/>
      <c r="G677" s="7"/>
      <c r="H677" s="7"/>
      <c r="I677" s="7"/>
      <c r="J677" s="7"/>
      <c r="K677" s="7"/>
    </row>
    <row r="678" spans="4:11" ht="12.75">
      <c r="D678" s="4"/>
      <c r="E678" s="7"/>
      <c r="F678" s="7"/>
      <c r="G678" s="7"/>
      <c r="H678" s="7"/>
      <c r="I678" s="7"/>
      <c r="J678" s="7"/>
      <c r="K678" s="7"/>
    </row>
    <row r="679" spans="4:11" ht="12.75">
      <c r="D679" s="4"/>
      <c r="E679" s="7"/>
      <c r="F679" s="7"/>
      <c r="G679" s="7"/>
      <c r="H679" s="7"/>
      <c r="I679" s="7"/>
      <c r="J679" s="7"/>
      <c r="K679" s="7"/>
    </row>
    <row r="680" spans="4:11" ht="12.75">
      <c r="D680" s="4"/>
      <c r="E680" s="7"/>
      <c r="F680" s="7"/>
      <c r="G680" s="7"/>
      <c r="H680" s="7"/>
      <c r="I680" s="7"/>
      <c r="J680" s="7"/>
      <c r="K680" s="7"/>
    </row>
    <row r="681" spans="4:11" ht="12.75">
      <c r="D681" s="4"/>
      <c r="E681" s="7"/>
      <c r="F681" s="7"/>
      <c r="G681" s="7"/>
      <c r="H681" s="7"/>
      <c r="I681" s="7"/>
      <c r="J681" s="7"/>
      <c r="K681" s="7"/>
    </row>
    <row r="682" spans="4:11" ht="12.75">
      <c r="D682" s="4"/>
      <c r="E682" s="7"/>
      <c r="F682" s="7"/>
      <c r="G682" s="7"/>
      <c r="H682" s="7"/>
      <c r="I682" s="7"/>
      <c r="J682" s="7"/>
      <c r="K682" s="7"/>
    </row>
    <row r="683" spans="4:11" ht="12.75">
      <c r="D683" s="4"/>
      <c r="E683" s="7"/>
      <c r="F683" s="7"/>
      <c r="G683" s="7"/>
      <c r="H683" s="7"/>
      <c r="I683" s="7"/>
      <c r="J683" s="7"/>
      <c r="K683" s="7"/>
    </row>
    <row r="684" spans="4:11" ht="12.75">
      <c r="D684" s="4"/>
      <c r="E684" s="7"/>
      <c r="F684" s="7"/>
      <c r="G684" s="7"/>
      <c r="H684" s="7"/>
      <c r="I684" s="7"/>
      <c r="J684" s="7"/>
      <c r="K684" s="7"/>
    </row>
    <row r="685" spans="4:11" ht="12.75">
      <c r="D685" s="4"/>
      <c r="E685" s="7"/>
      <c r="F685" s="7"/>
      <c r="G685" s="7"/>
      <c r="H685" s="7"/>
      <c r="I685" s="7"/>
      <c r="J685" s="7"/>
      <c r="K685" s="7"/>
    </row>
    <row r="686" spans="4:11" ht="12.75">
      <c r="D686" s="4"/>
      <c r="E686" s="7"/>
      <c r="F686" s="7"/>
      <c r="G686" s="7"/>
      <c r="H686" s="7"/>
      <c r="I686" s="7"/>
      <c r="J686" s="7"/>
      <c r="K686" s="7"/>
    </row>
    <row r="687" spans="4:11" ht="12.75">
      <c r="D687" s="4"/>
      <c r="E687" s="7"/>
      <c r="F687" s="7"/>
      <c r="G687" s="7"/>
      <c r="H687" s="7"/>
      <c r="I687" s="7"/>
      <c r="J687" s="7"/>
      <c r="K687" s="7"/>
    </row>
    <row r="688" spans="4:11" ht="12.75">
      <c r="D688" s="4"/>
      <c r="E688" s="7"/>
      <c r="F688" s="7"/>
      <c r="G688" s="7"/>
      <c r="H688" s="7"/>
      <c r="I688" s="7"/>
      <c r="J688" s="7"/>
      <c r="K688" s="7"/>
    </row>
    <row r="689" spans="4:11" ht="12.75">
      <c r="D689" s="4"/>
      <c r="E689" s="7"/>
      <c r="F689" s="7"/>
      <c r="G689" s="7"/>
      <c r="H689" s="7"/>
      <c r="I689" s="7"/>
      <c r="J689" s="7"/>
      <c r="K689" s="7"/>
    </row>
    <row r="690" spans="4:11" ht="12.75">
      <c r="D690" s="4"/>
      <c r="E690" s="7"/>
      <c r="F690" s="7"/>
      <c r="G690" s="7"/>
      <c r="H690" s="7"/>
      <c r="I690" s="7"/>
      <c r="J690" s="7"/>
      <c r="K690" s="7"/>
    </row>
    <row r="691" spans="4:11" ht="12.75">
      <c r="D691" s="4"/>
      <c r="E691" s="7"/>
      <c r="F691" s="7"/>
      <c r="G691" s="7"/>
      <c r="H691" s="7"/>
      <c r="I691" s="7"/>
      <c r="J691" s="7"/>
      <c r="K691" s="7"/>
    </row>
    <row r="692" spans="4:11" ht="12.75">
      <c r="D692" s="4"/>
      <c r="E692" s="7"/>
      <c r="F692" s="7"/>
      <c r="G692" s="7"/>
      <c r="H692" s="7"/>
      <c r="I692" s="7"/>
      <c r="J692" s="7"/>
      <c r="K692" s="7"/>
    </row>
    <row r="693" spans="4:11" ht="12.75">
      <c r="D693" s="4"/>
      <c r="E693" s="7"/>
      <c r="F693" s="7"/>
      <c r="G693" s="7"/>
      <c r="H693" s="7"/>
      <c r="I693" s="7"/>
      <c r="J693" s="7"/>
      <c r="K693" s="7"/>
    </row>
    <row r="694" spans="4:11" ht="12.75">
      <c r="D694" s="4"/>
      <c r="E694" s="7"/>
      <c r="F694" s="7"/>
      <c r="G694" s="7"/>
      <c r="H694" s="7"/>
      <c r="I694" s="7"/>
      <c r="J694" s="7"/>
      <c r="K694" s="7"/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&amp;C&amp;"Arial,Bold"&amp;14Personnel Projections&amp;10
</oddHeader>
  </headerFooter>
  <rowBreaks count="2" manualBreakCount="2">
    <brk id="27" max="255" man="1"/>
    <brk id="6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3:M589"/>
  <sheetViews>
    <sheetView zoomScalePageLayoutView="0" workbookViewId="0" topLeftCell="A1">
      <selection activeCell="E3" sqref="E3:I4"/>
    </sheetView>
  </sheetViews>
  <sheetFormatPr defaultColWidth="9.140625" defaultRowHeight="12.75"/>
  <cols>
    <col min="1" max="2" width="2.7109375" style="1" customWidth="1"/>
    <col min="3" max="3" width="28.00390625" style="1" customWidth="1"/>
    <col min="4" max="4" width="8.7109375" style="1" customWidth="1"/>
    <col min="5" max="9" width="8.7109375" style="0" customWidth="1"/>
  </cols>
  <sheetData>
    <row r="3" spans="4:9" ht="12.75">
      <c r="D3" s="6"/>
      <c r="E3" s="6">
        <v>2007</v>
      </c>
      <c r="F3" s="1"/>
      <c r="G3" s="1"/>
      <c r="H3" s="1"/>
      <c r="I3" s="1"/>
    </row>
    <row r="4" spans="4:9" ht="12.75">
      <c r="D4" s="6" t="s">
        <v>136</v>
      </c>
      <c r="E4" s="6" t="s">
        <v>363</v>
      </c>
      <c r="F4" s="6">
        <f>E3+1</f>
        <v>2008</v>
      </c>
      <c r="G4" s="72">
        <f>F4+1</f>
        <v>2009</v>
      </c>
      <c r="H4" s="72">
        <f>G4+1</f>
        <v>2010</v>
      </c>
      <c r="I4" s="72">
        <f>H4+1</f>
        <v>2011</v>
      </c>
    </row>
    <row r="5" spans="1:13" ht="12.75">
      <c r="A5" s="15" t="s">
        <v>89</v>
      </c>
      <c r="B5" s="16"/>
      <c r="C5" s="16"/>
      <c r="D5" s="17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15"/>
      <c r="B6" s="16" t="s">
        <v>96</v>
      </c>
      <c r="C6" s="16"/>
      <c r="D6" s="16"/>
      <c r="E6" s="4">
        <f>Headcount!G140</f>
        <v>11</v>
      </c>
      <c r="F6" s="4">
        <f>Headcount!H140</f>
        <v>19</v>
      </c>
      <c r="G6" s="4">
        <f>Headcount!I140</f>
        <v>23</v>
      </c>
      <c r="H6" s="4">
        <f>Headcount!J140</f>
        <v>26</v>
      </c>
      <c r="I6" s="4">
        <f>Headcount!K140</f>
        <v>27</v>
      </c>
      <c r="J6" s="1"/>
      <c r="K6" s="1"/>
      <c r="L6" s="1"/>
      <c r="M6" s="1"/>
    </row>
    <row r="7" spans="1:13" ht="12.75">
      <c r="A7" s="15"/>
      <c r="B7" s="16" t="s">
        <v>97</v>
      </c>
      <c r="C7" s="16"/>
      <c r="D7" s="16"/>
      <c r="E7" s="4">
        <f>E6</f>
        <v>11</v>
      </c>
      <c r="F7" s="4">
        <f>F6-E6</f>
        <v>8</v>
      </c>
      <c r="G7" s="4">
        <f>G6-F6</f>
        <v>4</v>
      </c>
      <c r="H7" s="4">
        <f>H6-G6</f>
        <v>3</v>
      </c>
      <c r="I7" s="4">
        <f>I6-H6</f>
        <v>1</v>
      </c>
      <c r="J7" s="1"/>
      <c r="K7" s="1"/>
      <c r="L7" s="1"/>
      <c r="M7" s="1"/>
    </row>
    <row r="8" spans="1:13" ht="12.75">
      <c r="A8" s="15"/>
      <c r="B8" s="16" t="s">
        <v>98</v>
      </c>
      <c r="C8" s="16"/>
      <c r="D8" s="16"/>
      <c r="E8" s="4">
        <f>Headcount!G144</f>
        <v>8</v>
      </c>
      <c r="F8" s="4">
        <f>Headcount!H144</f>
        <v>15</v>
      </c>
      <c r="G8" s="4">
        <f>Headcount!I144</f>
        <v>20</v>
      </c>
      <c r="H8" s="4">
        <f>Headcount!J144</f>
        <v>25</v>
      </c>
      <c r="I8" s="4">
        <f>Headcount!K144</f>
        <v>31</v>
      </c>
      <c r="J8" s="1"/>
      <c r="K8" s="1"/>
      <c r="L8" s="1"/>
      <c r="M8" s="1"/>
    </row>
    <row r="9" spans="1:13" ht="12.75">
      <c r="A9" s="15"/>
      <c r="B9" s="16" t="s">
        <v>99</v>
      </c>
      <c r="C9" s="16"/>
      <c r="D9" s="16"/>
      <c r="E9" s="4">
        <f>E8</f>
        <v>8</v>
      </c>
      <c r="F9" s="4">
        <f>F8-E8</f>
        <v>7</v>
      </c>
      <c r="G9" s="4">
        <f>G8-F8</f>
        <v>5</v>
      </c>
      <c r="H9" s="4">
        <f>H8-G8</f>
        <v>5</v>
      </c>
      <c r="I9" s="4">
        <f>I8-H8</f>
        <v>6</v>
      </c>
      <c r="J9" s="1"/>
      <c r="K9" s="1"/>
      <c r="L9" s="1"/>
      <c r="M9" s="1"/>
    </row>
    <row r="10" spans="1:13" ht="12.75">
      <c r="A10" s="15"/>
      <c r="B10" s="16" t="s">
        <v>100</v>
      </c>
      <c r="C10" s="16"/>
      <c r="D10" s="16"/>
      <c r="E10" s="4">
        <f>Headcount!G146</f>
        <v>5</v>
      </c>
      <c r="F10" s="4">
        <f>Headcount!H146</f>
        <v>8</v>
      </c>
      <c r="G10" s="4">
        <f>Headcount!I146</f>
        <v>12</v>
      </c>
      <c r="H10" s="4">
        <f>Headcount!J146</f>
        <v>16</v>
      </c>
      <c r="I10" s="4">
        <f>Headcount!K146</f>
        <v>18</v>
      </c>
      <c r="J10" s="1"/>
      <c r="K10" s="1"/>
      <c r="L10" s="1"/>
      <c r="M10" s="1"/>
    </row>
    <row r="11" spans="1:13" ht="12.75">
      <c r="A11" s="15"/>
      <c r="B11" s="16" t="s">
        <v>101</v>
      </c>
      <c r="C11" s="16"/>
      <c r="D11" s="16"/>
      <c r="E11" s="4">
        <f>E10</f>
        <v>5</v>
      </c>
      <c r="F11" s="4">
        <f>F10-E10</f>
        <v>3</v>
      </c>
      <c r="G11" s="4">
        <f>G10-F10</f>
        <v>4</v>
      </c>
      <c r="H11" s="4">
        <f>H10-G10</f>
        <v>4</v>
      </c>
      <c r="I11" s="4">
        <f>I10-H10</f>
        <v>2</v>
      </c>
      <c r="J11" s="1"/>
      <c r="K11" s="1"/>
      <c r="L11" s="1"/>
      <c r="M11" s="1"/>
    </row>
    <row r="12" spans="1:13" ht="12.75">
      <c r="A12" s="15"/>
      <c r="B12" s="16" t="s">
        <v>356</v>
      </c>
      <c r="C12" s="16"/>
      <c r="D12" s="16"/>
      <c r="E12" s="4">
        <f>Headcount!G145</f>
        <v>7</v>
      </c>
      <c r="F12" s="4">
        <f>Headcount!H145</f>
        <v>10</v>
      </c>
      <c r="G12" s="4">
        <f>Headcount!I145</f>
        <v>14</v>
      </c>
      <c r="H12" s="4">
        <f>Headcount!J145</f>
        <v>18</v>
      </c>
      <c r="I12" s="4">
        <f>Headcount!K145</f>
        <v>24</v>
      </c>
      <c r="J12" s="1"/>
      <c r="K12" s="1"/>
      <c r="L12" s="1"/>
      <c r="M12" s="1"/>
    </row>
    <row r="13" spans="1:13" ht="12.75">
      <c r="A13" s="15"/>
      <c r="B13" s="16" t="s">
        <v>357</v>
      </c>
      <c r="C13" s="16"/>
      <c r="D13" s="16"/>
      <c r="E13" s="4">
        <f>E12</f>
        <v>7</v>
      </c>
      <c r="F13" s="4">
        <f>F12-E12</f>
        <v>3</v>
      </c>
      <c r="G13" s="4">
        <f>G12-F12</f>
        <v>4</v>
      </c>
      <c r="H13" s="4">
        <f>H12-G12</f>
        <v>4</v>
      </c>
      <c r="I13" s="4">
        <f>I12-H12</f>
        <v>6</v>
      </c>
      <c r="J13" s="1"/>
      <c r="K13" s="1"/>
      <c r="L13" s="1"/>
      <c r="M13" s="1"/>
    </row>
    <row r="14" spans="1:13" ht="12.75">
      <c r="A14" s="2"/>
      <c r="E14" s="1"/>
      <c r="F14" s="1"/>
      <c r="G14" s="1"/>
      <c r="H14" s="1"/>
      <c r="I14" s="1"/>
      <c r="J14" s="1"/>
      <c r="K14" s="1"/>
      <c r="L14" s="1"/>
      <c r="M14" s="1"/>
    </row>
    <row r="15" spans="2:13" ht="12.75">
      <c r="B15" s="2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2" t="s">
        <v>27</v>
      </c>
      <c r="E16" s="1"/>
      <c r="F16" s="1"/>
      <c r="G16" s="1"/>
      <c r="H16" s="1"/>
      <c r="I16" s="1"/>
      <c r="J16" s="1"/>
      <c r="K16" s="1"/>
      <c r="L16" s="1"/>
      <c r="M16" s="1"/>
    </row>
    <row r="17" spans="2:13" ht="12.75">
      <c r="B17" s="1" t="s">
        <v>102</v>
      </c>
      <c r="D17" s="4"/>
      <c r="E17" s="4"/>
      <c r="F17" s="4"/>
      <c r="G17" s="4"/>
      <c r="H17" s="4"/>
      <c r="I17" s="4"/>
      <c r="J17" s="1"/>
      <c r="K17" s="1"/>
      <c r="L17" s="1"/>
      <c r="M17" s="1"/>
    </row>
    <row r="18" spans="3:13" ht="12.75">
      <c r="C18" s="1" t="s">
        <v>103</v>
      </c>
      <c r="D18" s="4">
        <v>3500</v>
      </c>
      <c r="E18" s="4">
        <f>Cap_Unit_Price*RD_Change</f>
        <v>38500</v>
      </c>
      <c r="F18" s="4">
        <f aca="true" t="shared" si="0" ref="F18:I19">Cap_Unit_Price*RD_Change</f>
        <v>28000</v>
      </c>
      <c r="G18" s="4">
        <f t="shared" si="0"/>
        <v>14000</v>
      </c>
      <c r="H18" s="4">
        <f t="shared" si="0"/>
        <v>10500</v>
      </c>
      <c r="I18" s="4">
        <f t="shared" si="0"/>
        <v>3500</v>
      </c>
      <c r="J18" s="1"/>
      <c r="K18" s="1"/>
      <c r="L18" s="1"/>
      <c r="M18" s="1"/>
    </row>
    <row r="19" spans="3:13" ht="12.75">
      <c r="C19" s="1" t="s">
        <v>104</v>
      </c>
      <c r="D19" s="4">
        <v>1100</v>
      </c>
      <c r="E19" s="4">
        <f>Cap_Unit_Price*RD_Change</f>
        <v>12100</v>
      </c>
      <c r="F19" s="4">
        <f t="shared" si="0"/>
        <v>8800</v>
      </c>
      <c r="G19" s="4">
        <f t="shared" si="0"/>
        <v>4400</v>
      </c>
      <c r="H19" s="4">
        <f t="shared" si="0"/>
        <v>3300</v>
      </c>
      <c r="I19" s="4">
        <f t="shared" si="0"/>
        <v>1100</v>
      </c>
      <c r="J19" s="1"/>
      <c r="K19" s="1"/>
      <c r="L19" s="1"/>
      <c r="M19" s="1"/>
    </row>
    <row r="20" spans="3:13" ht="12.75">
      <c r="C20" s="1" t="s">
        <v>105</v>
      </c>
      <c r="D20" s="4">
        <v>14000</v>
      </c>
      <c r="E20" s="4">
        <v>28000</v>
      </c>
      <c r="F20" s="4"/>
      <c r="G20" s="4"/>
      <c r="H20" s="4"/>
      <c r="I20" s="4"/>
      <c r="J20" s="1"/>
      <c r="K20" s="1"/>
      <c r="L20" s="1"/>
      <c r="M20" s="1"/>
    </row>
    <row r="21" spans="3:13" ht="12.75">
      <c r="C21" s="1" t="s">
        <v>106</v>
      </c>
      <c r="D21" s="4">
        <v>85000</v>
      </c>
      <c r="E21" s="4"/>
      <c r="F21" s="4">
        <f>Cap_Unit_Price</f>
        <v>85000</v>
      </c>
      <c r="G21" s="4"/>
      <c r="H21" s="4"/>
      <c r="I21" s="4"/>
      <c r="J21" s="1"/>
      <c r="K21" s="1"/>
      <c r="L21" s="1"/>
      <c r="M21" s="1"/>
    </row>
    <row r="22" spans="3:13" ht="12.75">
      <c r="C22" s="1" t="s">
        <v>107</v>
      </c>
      <c r="D22" s="4">
        <v>12000</v>
      </c>
      <c r="E22" s="4"/>
      <c r="F22" s="4"/>
      <c r="G22" s="4">
        <f>Cap_Unit_Price</f>
        <v>12000</v>
      </c>
      <c r="H22" s="4"/>
      <c r="I22" s="4"/>
      <c r="J22" s="1"/>
      <c r="K22" s="1"/>
      <c r="L22" s="1"/>
      <c r="M22" s="1"/>
    </row>
    <row r="23" spans="3:13" ht="12.75">
      <c r="C23" s="1" t="s">
        <v>108</v>
      </c>
      <c r="D23" s="4">
        <v>65000</v>
      </c>
      <c r="E23" s="4"/>
      <c r="F23" s="4"/>
      <c r="G23" s="4">
        <f>Cap_Unit_Price</f>
        <v>65000</v>
      </c>
      <c r="H23" s="4"/>
      <c r="I23" s="4"/>
      <c r="J23" s="1"/>
      <c r="K23" s="1"/>
      <c r="L23" s="1"/>
      <c r="M23" s="1"/>
    </row>
    <row r="24" spans="3:13" ht="12.75">
      <c r="C24" s="1" t="s">
        <v>109</v>
      </c>
      <c r="D24" s="4">
        <v>1700</v>
      </c>
      <c r="E24" s="5">
        <f>Cap_Unit_Price*2</f>
        <v>3400</v>
      </c>
      <c r="F24" s="5">
        <f>Cap_Unit_Price</f>
        <v>1700</v>
      </c>
      <c r="G24" s="5"/>
      <c r="H24" s="5"/>
      <c r="I24" s="5"/>
      <c r="J24" s="1"/>
      <c r="K24" s="1"/>
      <c r="L24" s="1"/>
      <c r="M24" s="1"/>
    </row>
    <row r="25" spans="2:13" ht="12.75">
      <c r="B25" s="1" t="s">
        <v>110</v>
      </c>
      <c r="D25" s="4"/>
      <c r="E25" s="4">
        <f>SUM(E18:E24)</f>
        <v>82000</v>
      </c>
      <c r="F25" s="4">
        <f>SUM(F18:F24)</f>
        <v>123500</v>
      </c>
      <c r="G25" s="4">
        <f>SUM(G18:G24)</f>
        <v>95400</v>
      </c>
      <c r="H25" s="4">
        <f>SUM(H18:H24)</f>
        <v>13800</v>
      </c>
      <c r="I25" s="4">
        <f>SUM(I18:I24)</f>
        <v>4600</v>
      </c>
      <c r="J25" s="1"/>
      <c r="K25" s="1"/>
      <c r="L25" s="1"/>
      <c r="M25" s="1"/>
    </row>
    <row r="26" spans="4:13" ht="12.75">
      <c r="D26" s="4"/>
      <c r="E26" s="4"/>
      <c r="F26" s="4"/>
      <c r="G26" s="4"/>
      <c r="H26" s="4"/>
      <c r="I26" s="4"/>
      <c r="J26" s="1"/>
      <c r="K26" s="1"/>
      <c r="L26" s="1"/>
      <c r="M26" s="1"/>
    </row>
    <row r="27" spans="2:13" ht="12.75">
      <c r="B27" s="1" t="s">
        <v>111</v>
      </c>
      <c r="D27" s="4"/>
      <c r="E27" s="4"/>
      <c r="F27" s="4"/>
      <c r="G27" s="4"/>
      <c r="H27" s="4"/>
      <c r="I27" s="4"/>
      <c r="J27" s="1"/>
      <c r="K27" s="1"/>
      <c r="L27" s="1"/>
      <c r="M27" s="1"/>
    </row>
    <row r="28" spans="3:13" ht="12.75">
      <c r="C28" s="1" t="s">
        <v>112</v>
      </c>
      <c r="D28" s="4">
        <v>400</v>
      </c>
      <c r="E28" s="4">
        <f>Cap_Unit_Price*RD_Change</f>
        <v>4400</v>
      </c>
      <c r="F28" s="4">
        <f aca="true" t="shared" si="1" ref="F28:I29">Cap_Unit_Price*RD_Change</f>
        <v>3200</v>
      </c>
      <c r="G28" s="4">
        <f t="shared" si="1"/>
        <v>1600</v>
      </c>
      <c r="H28" s="4">
        <f t="shared" si="1"/>
        <v>1200</v>
      </c>
      <c r="I28" s="4">
        <f t="shared" si="1"/>
        <v>400</v>
      </c>
      <c r="J28" s="1"/>
      <c r="K28" s="1"/>
      <c r="L28" s="1"/>
      <c r="M28" s="1"/>
    </row>
    <row r="29" spans="3:13" ht="12.75">
      <c r="C29" s="1" t="s">
        <v>113</v>
      </c>
      <c r="D29" s="4">
        <v>250</v>
      </c>
      <c r="E29" s="5">
        <f>Cap_Unit_Price*RD_Change</f>
        <v>2750</v>
      </c>
      <c r="F29" s="5">
        <f t="shared" si="1"/>
        <v>2000</v>
      </c>
      <c r="G29" s="5">
        <f t="shared" si="1"/>
        <v>1000</v>
      </c>
      <c r="H29" s="5">
        <f t="shared" si="1"/>
        <v>750</v>
      </c>
      <c r="I29" s="5">
        <f t="shared" si="1"/>
        <v>250</v>
      </c>
      <c r="J29" s="1"/>
      <c r="K29" s="1"/>
      <c r="L29" s="1"/>
      <c r="M29" s="1"/>
    </row>
    <row r="30" spans="2:13" ht="12.75">
      <c r="B30" s="1" t="s">
        <v>114</v>
      </c>
      <c r="D30" s="4"/>
      <c r="E30" s="4">
        <f>SUM(E28:E29)</f>
        <v>7150</v>
      </c>
      <c r="F30" s="4">
        <f>SUM(F28:F29)</f>
        <v>5200</v>
      </c>
      <c r="G30" s="4">
        <f>SUM(G28:G29)</f>
        <v>2600</v>
      </c>
      <c r="H30" s="4">
        <f>SUM(H28:H29)</f>
        <v>1950</v>
      </c>
      <c r="I30" s="4">
        <f>SUM(I28:I29)</f>
        <v>650</v>
      </c>
      <c r="J30" s="1"/>
      <c r="K30" s="1"/>
      <c r="L30" s="1"/>
      <c r="M30" s="1"/>
    </row>
    <row r="31" spans="4:13" ht="12.75">
      <c r="D31" s="4"/>
      <c r="E31" s="4"/>
      <c r="F31" s="4"/>
      <c r="G31" s="4"/>
      <c r="H31" s="4"/>
      <c r="I31" s="4"/>
      <c r="J31" s="1"/>
      <c r="K31" s="1"/>
      <c r="L31" s="1"/>
      <c r="M31" s="1"/>
    </row>
    <row r="32" spans="2:13" ht="12.75">
      <c r="B32" s="1" t="s">
        <v>115</v>
      </c>
      <c r="D32" s="4"/>
      <c r="E32" s="4">
        <f>E25+E30</f>
        <v>89150</v>
      </c>
      <c r="F32" s="4">
        <f>F25+F30</f>
        <v>128700</v>
      </c>
      <c r="G32" s="4">
        <f>G25+G30</f>
        <v>98000</v>
      </c>
      <c r="H32" s="4">
        <f>H25+H30</f>
        <v>15750</v>
      </c>
      <c r="I32" s="4">
        <f>I25+I30</f>
        <v>5250</v>
      </c>
      <c r="J32" s="1"/>
      <c r="K32" s="1"/>
      <c r="L32" s="1"/>
      <c r="M32" s="1"/>
    </row>
    <row r="33" spans="4:13" ht="12.75">
      <c r="D33" s="4"/>
      <c r="E33" s="4"/>
      <c r="F33" s="4"/>
      <c r="G33" s="4"/>
      <c r="H33" s="4"/>
      <c r="I33" s="4"/>
      <c r="J33" s="1"/>
      <c r="K33" s="1"/>
      <c r="L33" s="1"/>
      <c r="M33" s="1"/>
    </row>
    <row r="34" spans="4:13" ht="12.75">
      <c r="D34" s="4"/>
      <c r="E34" s="4"/>
      <c r="F34" s="4"/>
      <c r="G34" s="4"/>
      <c r="H34" s="4"/>
      <c r="I34" s="4"/>
      <c r="J34" s="1"/>
      <c r="K34" s="1"/>
      <c r="L34" s="1"/>
      <c r="M34" s="1"/>
    </row>
    <row r="35" spans="1:13" ht="12.75">
      <c r="A35" s="2" t="s">
        <v>28</v>
      </c>
      <c r="E35" s="4"/>
      <c r="F35" s="4"/>
      <c r="G35" s="4"/>
      <c r="H35" s="4"/>
      <c r="I35" s="4"/>
      <c r="J35" s="1"/>
      <c r="K35" s="1"/>
      <c r="L35" s="1"/>
      <c r="M35" s="1"/>
    </row>
    <row r="36" spans="2:13" ht="12.75">
      <c r="B36" s="1" t="s">
        <v>102</v>
      </c>
      <c r="D36" s="4"/>
      <c r="E36" s="4"/>
      <c r="F36" s="4"/>
      <c r="G36" s="4"/>
      <c r="H36" s="4"/>
      <c r="I36" s="4"/>
      <c r="J36" s="1"/>
      <c r="K36" s="1"/>
      <c r="L36" s="1"/>
      <c r="M36" s="1"/>
    </row>
    <row r="37" spans="3:13" ht="12.75">
      <c r="C37" s="1" t="s">
        <v>103</v>
      </c>
      <c r="D37" s="4">
        <v>2800</v>
      </c>
      <c r="E37" s="4">
        <f>Cap_Unit_Price*SM_Change</f>
        <v>22400</v>
      </c>
      <c r="F37" s="4">
        <f>Cap_Unit_Price*SM_Change</f>
        <v>19600</v>
      </c>
      <c r="G37" s="4">
        <f>Cap_Unit_Price*SM_Change</f>
        <v>14000</v>
      </c>
      <c r="H37" s="4">
        <f>Cap_Unit_Price*SM_Change</f>
        <v>14000</v>
      </c>
      <c r="I37" s="4">
        <f>Cap_Unit_Price*SM_Change</f>
        <v>16800</v>
      </c>
      <c r="J37" s="1"/>
      <c r="K37" s="1"/>
      <c r="L37" s="1"/>
      <c r="M37" s="1"/>
    </row>
    <row r="38" spans="3:13" ht="12.75">
      <c r="C38" s="1" t="s">
        <v>109</v>
      </c>
      <c r="D38" s="4">
        <v>1700</v>
      </c>
      <c r="E38" s="4">
        <f>Cap_Unit_Price</f>
        <v>1700</v>
      </c>
      <c r="F38" s="4">
        <f>Cap_Unit_Price</f>
        <v>1700</v>
      </c>
      <c r="G38" s="4">
        <f>Cap_Unit_Price</f>
        <v>1700</v>
      </c>
      <c r="H38" s="4">
        <f>Cap_Unit_Price</f>
        <v>1700</v>
      </c>
      <c r="I38" s="4"/>
      <c r="J38" s="1"/>
      <c r="K38" s="1"/>
      <c r="L38" s="1"/>
      <c r="M38" s="1"/>
    </row>
    <row r="39" spans="3:13" ht="12.75">
      <c r="C39" s="1" t="s">
        <v>116</v>
      </c>
      <c r="D39" s="4">
        <v>12000</v>
      </c>
      <c r="E39" s="5">
        <f>Cap_Unit_Price</f>
        <v>12000</v>
      </c>
      <c r="F39" s="5"/>
      <c r="G39" s="5">
        <f>Cap_Unit_Price</f>
        <v>12000</v>
      </c>
      <c r="H39" s="5"/>
      <c r="I39" s="5"/>
      <c r="J39" s="1"/>
      <c r="K39" s="1"/>
      <c r="L39" s="1"/>
      <c r="M39" s="1"/>
    </row>
    <row r="40" spans="2:13" ht="12.75">
      <c r="B40" s="1" t="s">
        <v>110</v>
      </c>
      <c r="D40" s="4"/>
      <c r="E40" s="4">
        <f>SUM(E37:E39)</f>
        <v>36100</v>
      </c>
      <c r="F40" s="4">
        <f>SUM(F37:F39)</f>
        <v>21300</v>
      </c>
      <c r="G40" s="4">
        <f>SUM(G37:G39)</f>
        <v>27700</v>
      </c>
      <c r="H40" s="4">
        <f>SUM(H37:H39)</f>
        <v>15700</v>
      </c>
      <c r="I40" s="4">
        <f>SUM(I37:I39)</f>
        <v>16800</v>
      </c>
      <c r="J40" s="1"/>
      <c r="K40" s="1"/>
      <c r="L40" s="1"/>
      <c r="M40" s="1"/>
    </row>
    <row r="41" spans="4:13" ht="12.75">
      <c r="D41" s="4"/>
      <c r="E41" s="4"/>
      <c r="F41" s="4"/>
      <c r="G41" s="4"/>
      <c r="H41" s="4"/>
      <c r="I41" s="4"/>
      <c r="J41" s="1"/>
      <c r="K41" s="1"/>
      <c r="L41" s="1"/>
      <c r="M41" s="1"/>
    </row>
    <row r="42" spans="2:13" ht="12.75">
      <c r="B42" s="1" t="s">
        <v>111</v>
      </c>
      <c r="D42" s="4"/>
      <c r="E42" s="4"/>
      <c r="F42" s="4"/>
      <c r="G42" s="4"/>
      <c r="H42" s="4"/>
      <c r="I42" s="4"/>
      <c r="J42" s="1"/>
      <c r="K42" s="1"/>
      <c r="L42" s="1"/>
      <c r="M42" s="1"/>
    </row>
    <row r="43" spans="3:13" ht="12.75">
      <c r="C43" s="1" t="s">
        <v>112</v>
      </c>
      <c r="D43" s="4">
        <v>400</v>
      </c>
      <c r="E43" s="4">
        <f>Cap_Unit_Price*SM_Change</f>
        <v>3200</v>
      </c>
      <c r="F43" s="4">
        <f aca="true" t="shared" si="2" ref="F43:I44">Cap_Unit_Price*SM_Change</f>
        <v>2800</v>
      </c>
      <c r="G43" s="4">
        <f t="shared" si="2"/>
        <v>2000</v>
      </c>
      <c r="H43" s="4">
        <f t="shared" si="2"/>
        <v>2000</v>
      </c>
      <c r="I43" s="4">
        <f t="shared" si="2"/>
        <v>2400</v>
      </c>
      <c r="J43" s="1"/>
      <c r="K43" s="1"/>
      <c r="L43" s="1"/>
      <c r="M43" s="1"/>
    </row>
    <row r="44" spans="3:13" ht="12.75">
      <c r="C44" s="1" t="s">
        <v>113</v>
      </c>
      <c r="D44" s="4">
        <v>250</v>
      </c>
      <c r="E44" s="4">
        <f>Cap_Unit_Price*SM_Change</f>
        <v>2000</v>
      </c>
      <c r="F44" s="4">
        <f t="shared" si="2"/>
        <v>1750</v>
      </c>
      <c r="G44" s="4">
        <f t="shared" si="2"/>
        <v>1250</v>
      </c>
      <c r="H44" s="4">
        <f t="shared" si="2"/>
        <v>1250</v>
      </c>
      <c r="I44" s="4">
        <f t="shared" si="2"/>
        <v>1500</v>
      </c>
      <c r="J44" s="1"/>
      <c r="K44" s="1"/>
      <c r="L44" s="1"/>
      <c r="M44" s="1"/>
    </row>
    <row r="45" spans="3:13" ht="12.75">
      <c r="C45" s="1" t="s">
        <v>117</v>
      </c>
      <c r="D45" s="4">
        <v>1500</v>
      </c>
      <c r="E45" s="4"/>
      <c r="F45" s="4"/>
      <c r="G45" s="4"/>
      <c r="H45" s="4"/>
      <c r="I45" s="4"/>
      <c r="J45" s="1"/>
      <c r="K45" s="1"/>
      <c r="L45" s="1"/>
      <c r="M45" s="1"/>
    </row>
    <row r="46" spans="3:13" ht="12.75">
      <c r="C46" s="1" t="s">
        <v>118</v>
      </c>
      <c r="D46" s="4">
        <v>6000</v>
      </c>
      <c r="E46" s="4"/>
      <c r="F46" s="4"/>
      <c r="G46" s="4"/>
      <c r="H46" s="4"/>
      <c r="I46" s="4"/>
      <c r="J46" s="1"/>
      <c r="K46" s="1"/>
      <c r="L46" s="1"/>
      <c r="M46" s="1"/>
    </row>
    <row r="47" spans="3:13" ht="12.75">
      <c r="C47" s="1" t="s">
        <v>119</v>
      </c>
      <c r="D47" s="4">
        <v>600</v>
      </c>
      <c r="E47" s="5">
        <f>Cap_Unit_Price</f>
        <v>600</v>
      </c>
      <c r="F47" s="5"/>
      <c r="G47" s="5"/>
      <c r="H47" s="5">
        <f>Cap_Unit_Price</f>
        <v>600</v>
      </c>
      <c r="I47" s="5">
        <f>Cap_Unit_Price</f>
        <v>600</v>
      </c>
      <c r="J47" s="1"/>
      <c r="K47" s="1"/>
      <c r="L47" s="1"/>
      <c r="M47" s="1"/>
    </row>
    <row r="48" spans="2:13" ht="12.75">
      <c r="B48" s="1" t="s">
        <v>114</v>
      </c>
      <c r="D48" s="4"/>
      <c r="E48" s="4">
        <f>SUM(E43:E47)</f>
        <v>5800</v>
      </c>
      <c r="F48" s="4">
        <f>SUM(F43:F47)</f>
        <v>4550</v>
      </c>
      <c r="G48" s="4">
        <f>SUM(G43:G47)</f>
        <v>3250</v>
      </c>
      <c r="H48" s="4">
        <f>SUM(H43:H47)</f>
        <v>3850</v>
      </c>
      <c r="I48" s="4">
        <f>SUM(I43:I47)</f>
        <v>4500</v>
      </c>
      <c r="J48" s="1"/>
      <c r="K48" s="1"/>
      <c r="L48" s="1"/>
      <c r="M48" s="1"/>
    </row>
    <row r="49" spans="4:13" ht="12.75">
      <c r="D49" s="4"/>
      <c r="E49" s="5"/>
      <c r="F49" s="5"/>
      <c r="G49" s="5"/>
      <c r="H49" s="5"/>
      <c r="I49" s="5"/>
      <c r="J49" s="1"/>
      <c r="K49" s="1"/>
      <c r="L49" s="1"/>
      <c r="M49" s="1"/>
    </row>
    <row r="50" spans="2:13" ht="12.75">
      <c r="B50" s="1" t="s">
        <v>170</v>
      </c>
      <c r="D50" s="4"/>
      <c r="E50" s="4">
        <f>E40+E48</f>
        <v>41900</v>
      </c>
      <c r="F50" s="4">
        <f>F40+F48</f>
        <v>25850</v>
      </c>
      <c r="G50" s="4">
        <f>G40+G48</f>
        <v>30950</v>
      </c>
      <c r="H50" s="4">
        <f>H40+H48</f>
        <v>19550</v>
      </c>
      <c r="I50" s="4">
        <f>I40+I48</f>
        <v>21300</v>
      </c>
      <c r="J50" s="1"/>
      <c r="K50" s="1"/>
      <c r="L50" s="1"/>
      <c r="M50" s="1"/>
    </row>
    <row r="51" spans="4:13" ht="12.75">
      <c r="D51" s="4"/>
      <c r="E51" s="4"/>
      <c r="F51" s="4"/>
      <c r="G51" s="4"/>
      <c r="H51" s="4"/>
      <c r="I51" s="4"/>
      <c r="J51" s="1"/>
      <c r="K51" s="1"/>
      <c r="L51" s="1"/>
      <c r="M51" s="1"/>
    </row>
    <row r="52" spans="4:13" ht="12.75">
      <c r="D52" s="4"/>
      <c r="E52" s="4"/>
      <c r="F52" s="4"/>
      <c r="G52" s="4"/>
      <c r="H52" s="4"/>
      <c r="I52" s="4"/>
      <c r="J52" s="1"/>
      <c r="K52" s="1"/>
      <c r="L52" s="1"/>
      <c r="M52" s="1"/>
    </row>
    <row r="53" spans="1:13" ht="12.75">
      <c r="A53" s="2" t="s">
        <v>120</v>
      </c>
      <c r="E53" s="4"/>
      <c r="F53" s="4"/>
      <c r="G53" s="4"/>
      <c r="H53" s="4"/>
      <c r="I53" s="4"/>
      <c r="J53" s="1"/>
      <c r="K53" s="1"/>
      <c r="L53" s="1"/>
      <c r="M53" s="1"/>
    </row>
    <row r="54" spans="2:13" ht="12.75">
      <c r="B54" s="1" t="s">
        <v>102</v>
      </c>
      <c r="D54" s="4"/>
      <c r="E54" s="4"/>
      <c r="F54" s="4"/>
      <c r="G54" s="4"/>
      <c r="H54" s="4"/>
      <c r="I54" s="4"/>
      <c r="J54" s="1"/>
      <c r="K54" s="1"/>
      <c r="L54" s="1"/>
      <c r="M54" s="1"/>
    </row>
    <row r="55" spans="3:13" ht="12.75">
      <c r="C55" s="1" t="s">
        <v>103</v>
      </c>
      <c r="D55" s="4">
        <v>2800</v>
      </c>
      <c r="E55" s="4">
        <f>Cap_Unit_Price*GA_Change</f>
        <v>14000</v>
      </c>
      <c r="F55" s="4">
        <f>Cap_Unit_Price*GA_Change</f>
        <v>8400</v>
      </c>
      <c r="G55" s="4">
        <f>Cap_Unit_Price*GA_Change</f>
        <v>11200</v>
      </c>
      <c r="H55" s="4">
        <f>Cap_Unit_Price*GA_Change</f>
        <v>11200</v>
      </c>
      <c r="I55" s="4">
        <f>Cap_Unit_Price*GA_Change</f>
        <v>5600</v>
      </c>
      <c r="J55" s="1"/>
      <c r="K55" s="1"/>
      <c r="L55" s="1"/>
      <c r="M55" s="1"/>
    </row>
    <row r="56" spans="3:13" ht="12.75">
      <c r="C56" s="1" t="s">
        <v>109</v>
      </c>
      <c r="D56" s="4">
        <v>1700</v>
      </c>
      <c r="E56" s="4">
        <f>Cap_Unit_Price</f>
        <v>1700</v>
      </c>
      <c r="F56" s="4"/>
      <c r="G56" s="4">
        <f>Cap_Unit_Price</f>
        <v>1700</v>
      </c>
      <c r="H56" s="4">
        <f>Cap_Unit_Price</f>
        <v>1700</v>
      </c>
      <c r="I56" s="4"/>
      <c r="J56" s="1"/>
      <c r="K56" s="1"/>
      <c r="L56" s="1"/>
      <c r="M56" s="1"/>
    </row>
    <row r="57" spans="3:13" ht="12.75">
      <c r="C57" s="1" t="s">
        <v>116</v>
      </c>
      <c r="D57" s="4">
        <v>12000</v>
      </c>
      <c r="E57" s="5"/>
      <c r="F57" s="5"/>
      <c r="G57" s="5"/>
      <c r="H57" s="5"/>
      <c r="I57" s="5"/>
      <c r="J57" s="1"/>
      <c r="K57" s="1"/>
      <c r="L57" s="1"/>
      <c r="M57" s="1"/>
    </row>
    <row r="58" spans="2:13" ht="12.75">
      <c r="B58" s="1" t="s">
        <v>110</v>
      </c>
      <c r="D58" s="4"/>
      <c r="E58" s="4">
        <f>SUM(E55:E57)</f>
        <v>15700</v>
      </c>
      <c r="F58" s="4">
        <f>SUM(F55:F57)</f>
        <v>8400</v>
      </c>
      <c r="G58" s="4">
        <f>SUM(G55:G57)</f>
        <v>12900</v>
      </c>
      <c r="H58" s="4">
        <f>SUM(H55:H57)</f>
        <v>12900</v>
      </c>
      <c r="I58" s="4">
        <f>SUM(I55:I57)</f>
        <v>5600</v>
      </c>
      <c r="J58" s="1"/>
      <c r="K58" s="1"/>
      <c r="L58" s="1"/>
      <c r="M58" s="1"/>
    </row>
    <row r="59" spans="4:13" ht="12.75">
      <c r="D59" s="4"/>
      <c r="E59" s="4"/>
      <c r="F59" s="4"/>
      <c r="G59" s="4"/>
      <c r="H59" s="4"/>
      <c r="I59" s="4"/>
      <c r="J59" s="1"/>
      <c r="K59" s="1"/>
      <c r="L59" s="1"/>
      <c r="M59" s="1"/>
    </row>
    <row r="60" spans="2:13" ht="12.75">
      <c r="B60" s="1" t="s">
        <v>111</v>
      </c>
      <c r="D60" s="4"/>
      <c r="E60" s="4"/>
      <c r="F60" s="4"/>
      <c r="G60" s="4"/>
      <c r="H60" s="4"/>
      <c r="I60" s="4"/>
      <c r="J60" s="1"/>
      <c r="K60" s="1"/>
      <c r="L60" s="1"/>
      <c r="M60" s="1"/>
    </row>
    <row r="61" spans="3:13" ht="12.75">
      <c r="C61" s="1" t="s">
        <v>112</v>
      </c>
      <c r="D61" s="4">
        <v>400</v>
      </c>
      <c r="E61" s="4">
        <f>Cap_Unit_Price*GA_Change</f>
        <v>2000</v>
      </c>
      <c r="F61" s="4">
        <f aca="true" t="shared" si="3" ref="F61:I62">Cap_Unit_Price*GA_Change</f>
        <v>1200</v>
      </c>
      <c r="G61" s="4">
        <f t="shared" si="3"/>
        <v>1600</v>
      </c>
      <c r="H61" s="4">
        <f t="shared" si="3"/>
        <v>1600</v>
      </c>
      <c r="I61" s="4">
        <f t="shared" si="3"/>
        <v>800</v>
      </c>
      <c r="J61" s="1"/>
      <c r="K61" s="1"/>
      <c r="L61" s="1"/>
      <c r="M61" s="1"/>
    </row>
    <row r="62" spans="3:13" ht="12.75">
      <c r="C62" s="1" t="s">
        <v>113</v>
      </c>
      <c r="D62" s="4">
        <v>250</v>
      </c>
      <c r="E62" s="4">
        <f>Cap_Unit_Price*GA_Change</f>
        <v>1250</v>
      </c>
      <c r="F62" s="4">
        <f t="shared" si="3"/>
        <v>750</v>
      </c>
      <c r="G62" s="4">
        <f t="shared" si="3"/>
        <v>1000</v>
      </c>
      <c r="H62" s="4">
        <f t="shared" si="3"/>
        <v>1000</v>
      </c>
      <c r="I62" s="4">
        <f t="shared" si="3"/>
        <v>500</v>
      </c>
      <c r="J62" s="1"/>
      <c r="K62" s="1"/>
      <c r="L62" s="1"/>
      <c r="M62" s="1"/>
    </row>
    <row r="63" spans="3:13" ht="12.75">
      <c r="C63" s="1" t="s">
        <v>117</v>
      </c>
      <c r="D63" s="4">
        <v>1500</v>
      </c>
      <c r="E63" s="4"/>
      <c r="F63" s="4"/>
      <c r="G63" s="4"/>
      <c r="H63" s="4"/>
      <c r="I63" s="4"/>
      <c r="J63" s="1"/>
      <c r="K63" s="1"/>
      <c r="L63" s="1"/>
      <c r="M63" s="1"/>
    </row>
    <row r="64" spans="3:13" ht="12.75">
      <c r="C64" s="1" t="s">
        <v>118</v>
      </c>
      <c r="D64" s="4">
        <v>6000</v>
      </c>
      <c r="E64" s="4"/>
      <c r="F64" s="4"/>
      <c r="G64" s="4"/>
      <c r="H64" s="4"/>
      <c r="I64" s="4"/>
      <c r="J64" s="1"/>
      <c r="K64" s="1"/>
      <c r="L64" s="1"/>
      <c r="M64" s="1"/>
    </row>
    <row r="65" spans="3:13" ht="12.75">
      <c r="C65" s="1" t="s">
        <v>119</v>
      </c>
      <c r="D65" s="4">
        <v>600</v>
      </c>
      <c r="E65" s="5">
        <f>Cap_Unit_Price</f>
        <v>600</v>
      </c>
      <c r="F65" s="5"/>
      <c r="G65" s="5">
        <f>Cap_Unit_Price</f>
        <v>600</v>
      </c>
      <c r="H65" s="5"/>
      <c r="I65" s="5"/>
      <c r="J65" s="1"/>
      <c r="K65" s="1"/>
      <c r="L65" s="1"/>
      <c r="M65" s="1"/>
    </row>
    <row r="66" spans="2:13" ht="12.75">
      <c r="B66" s="1" t="s">
        <v>114</v>
      </c>
      <c r="D66" s="4"/>
      <c r="E66" s="4">
        <f>SUM(E61:E65)</f>
        <v>3850</v>
      </c>
      <c r="F66" s="4">
        <f>SUM(F61:F65)</f>
        <v>1950</v>
      </c>
      <c r="G66" s="4">
        <f>SUM(G61:G65)</f>
        <v>3200</v>
      </c>
      <c r="H66" s="4">
        <f>SUM(H61:H65)</f>
        <v>2600</v>
      </c>
      <c r="I66" s="4">
        <f>SUM(I61:I65)</f>
        <v>1300</v>
      </c>
      <c r="J66" s="1"/>
      <c r="K66" s="1"/>
      <c r="L66" s="1"/>
      <c r="M66" s="1"/>
    </row>
    <row r="67" spans="4:13" ht="12.75">
      <c r="D67" s="4"/>
      <c r="E67" s="5"/>
      <c r="F67" s="5"/>
      <c r="G67" s="5"/>
      <c r="H67" s="5"/>
      <c r="I67" s="5"/>
      <c r="J67" s="1"/>
      <c r="K67" s="1"/>
      <c r="L67" s="1"/>
      <c r="M67" s="1"/>
    </row>
    <row r="68" spans="2:13" ht="12.75">
      <c r="B68" s="1" t="s">
        <v>137</v>
      </c>
      <c r="D68" s="4"/>
      <c r="E68" s="4">
        <f>E58+E66</f>
        <v>19550</v>
      </c>
      <c r="F68" s="4">
        <f>F58+F66</f>
        <v>10350</v>
      </c>
      <c r="G68" s="4">
        <f>G58+G66</f>
        <v>16100</v>
      </c>
      <c r="H68" s="4">
        <f>H58+H66</f>
        <v>15500</v>
      </c>
      <c r="I68" s="4">
        <f>I58+I66</f>
        <v>6900</v>
      </c>
      <c r="J68" s="1"/>
      <c r="K68" s="1"/>
      <c r="L68" s="1"/>
      <c r="M68" s="1"/>
    </row>
    <row r="69" spans="4:13" ht="12.75">
      <c r="D69" s="4"/>
      <c r="E69" s="4"/>
      <c r="F69" s="4"/>
      <c r="G69" s="4"/>
      <c r="H69" s="4"/>
      <c r="I69" s="4"/>
      <c r="J69" s="1"/>
      <c r="K69" s="1"/>
      <c r="L69" s="1"/>
      <c r="M69" s="1"/>
    </row>
    <row r="70" spans="4:13" ht="12.75">
      <c r="D70" s="4"/>
      <c r="E70" s="4"/>
      <c r="F70" s="4"/>
      <c r="G70" s="4"/>
      <c r="H70" s="4"/>
      <c r="I70" s="4"/>
      <c r="J70" s="1"/>
      <c r="K70" s="1"/>
      <c r="L70" s="1"/>
      <c r="M70" s="1"/>
    </row>
    <row r="71" spans="1:13" ht="12.75">
      <c r="A71" s="2" t="s">
        <v>355</v>
      </c>
      <c r="D71" s="4"/>
      <c r="E71" s="4"/>
      <c r="F71" s="4"/>
      <c r="G71" s="4"/>
      <c r="H71" s="4"/>
      <c r="I71" s="4"/>
      <c r="J71" s="1"/>
      <c r="K71" s="1"/>
      <c r="L71" s="1"/>
      <c r="M71" s="1"/>
    </row>
    <row r="72" spans="2:13" ht="12.75">
      <c r="B72" s="1" t="s">
        <v>102</v>
      </c>
      <c r="D72" s="4"/>
      <c r="E72" s="4"/>
      <c r="F72" s="4"/>
      <c r="G72" s="4"/>
      <c r="H72" s="4"/>
      <c r="I72" s="4"/>
      <c r="J72" s="1"/>
      <c r="K72" s="1"/>
      <c r="L72" s="1"/>
      <c r="M72" s="1"/>
    </row>
    <row r="73" spans="3:13" ht="12.75">
      <c r="C73" s="1" t="s">
        <v>103</v>
      </c>
      <c r="D73" s="4">
        <v>2800</v>
      </c>
      <c r="E73" s="4">
        <f>Cap_Unit_Price*KI_Change</f>
        <v>19600</v>
      </c>
      <c r="F73" s="4">
        <f>Cap_Unit_Price*KI_Change</f>
        <v>8400</v>
      </c>
      <c r="G73" s="4">
        <f>Cap_Unit_Price*KI_Change</f>
        <v>11200</v>
      </c>
      <c r="H73" s="4">
        <f>Cap_Unit_Price*KI_Change</f>
        <v>11200</v>
      </c>
      <c r="I73" s="4">
        <f>Cap_Unit_Price*KI_Change</f>
        <v>16800</v>
      </c>
      <c r="J73" s="1"/>
      <c r="K73" s="1"/>
      <c r="L73" s="1"/>
      <c r="M73" s="1"/>
    </row>
    <row r="74" spans="3:13" ht="12.75">
      <c r="C74" s="1" t="s">
        <v>109</v>
      </c>
      <c r="D74" s="4">
        <v>1700</v>
      </c>
      <c r="E74" s="4">
        <f>Cap_Unit_Price</f>
        <v>1700</v>
      </c>
      <c r="F74" s="4">
        <f>Cap_Unit_Price</f>
        <v>1700</v>
      </c>
      <c r="G74" s="4">
        <f>Cap_Unit_Price</f>
        <v>1700</v>
      </c>
      <c r="H74" s="4">
        <f>Cap_Unit_Price</f>
        <v>1700</v>
      </c>
      <c r="I74" s="4">
        <f>Cap_Unit_Price</f>
        <v>1700</v>
      </c>
      <c r="J74" s="1"/>
      <c r="K74" s="1"/>
      <c r="L74" s="1"/>
      <c r="M74" s="1"/>
    </row>
    <row r="75" spans="3:13" ht="12.75">
      <c r="C75" s="1" t="s">
        <v>116</v>
      </c>
      <c r="D75" s="4">
        <v>12000</v>
      </c>
      <c r="E75" s="5"/>
      <c r="F75" s="5"/>
      <c r="G75" s="5"/>
      <c r="H75" s="5"/>
      <c r="I75" s="5"/>
      <c r="J75" s="1"/>
      <c r="K75" s="1"/>
      <c r="L75" s="1"/>
      <c r="M75" s="1"/>
    </row>
    <row r="76" spans="2:13" ht="12.75">
      <c r="B76" s="1" t="s">
        <v>110</v>
      </c>
      <c r="D76" s="4"/>
      <c r="E76" s="4">
        <f>SUM(E73:E75)</f>
        <v>21300</v>
      </c>
      <c r="F76" s="4">
        <f>SUM(F73:F75)</f>
        <v>10100</v>
      </c>
      <c r="G76" s="4">
        <f>SUM(G73:G75)</f>
        <v>12900</v>
      </c>
      <c r="H76" s="4">
        <f>SUM(H73:H75)</f>
        <v>12900</v>
      </c>
      <c r="I76" s="4">
        <f>SUM(I73:I75)</f>
        <v>18500</v>
      </c>
      <c r="J76" s="1"/>
      <c r="K76" s="1"/>
      <c r="L76" s="1"/>
      <c r="M76" s="1"/>
    </row>
    <row r="77" spans="4:13" ht="12.75">
      <c r="D77" s="4"/>
      <c r="E77" s="4"/>
      <c r="F77" s="4"/>
      <c r="G77" s="4"/>
      <c r="H77" s="4"/>
      <c r="I77" s="4"/>
      <c r="J77" s="1"/>
      <c r="K77" s="1"/>
      <c r="L77" s="1"/>
      <c r="M77" s="1"/>
    </row>
    <row r="78" spans="2:13" ht="12.75">
      <c r="B78" s="1" t="s">
        <v>111</v>
      </c>
      <c r="D78" s="4"/>
      <c r="E78" s="4"/>
      <c r="F78" s="4"/>
      <c r="G78" s="4"/>
      <c r="H78" s="4"/>
      <c r="I78" s="4"/>
      <c r="J78" s="1"/>
      <c r="K78" s="1"/>
      <c r="L78" s="1"/>
      <c r="M78" s="1"/>
    </row>
    <row r="79" spans="3:13" ht="12.75">
      <c r="C79" s="1" t="s">
        <v>112</v>
      </c>
      <c r="D79" s="4">
        <v>400</v>
      </c>
      <c r="E79" s="4">
        <f>Cap_Unit_Price*KI_Change</f>
        <v>2800</v>
      </c>
      <c r="F79" s="4">
        <f aca="true" t="shared" si="4" ref="F79:I80">Cap_Unit_Price*KI_Change</f>
        <v>1200</v>
      </c>
      <c r="G79" s="4">
        <f t="shared" si="4"/>
        <v>1600</v>
      </c>
      <c r="H79" s="4">
        <f t="shared" si="4"/>
        <v>1600</v>
      </c>
      <c r="I79" s="4">
        <f t="shared" si="4"/>
        <v>2400</v>
      </c>
      <c r="J79" s="1"/>
      <c r="K79" s="1"/>
      <c r="L79" s="1"/>
      <c r="M79" s="1"/>
    </row>
    <row r="80" spans="3:13" ht="12.75">
      <c r="C80" s="1" t="s">
        <v>113</v>
      </c>
      <c r="D80" s="4">
        <v>250</v>
      </c>
      <c r="E80" s="4">
        <f>Cap_Unit_Price*KI_Change</f>
        <v>1750</v>
      </c>
      <c r="F80" s="4">
        <f t="shared" si="4"/>
        <v>750</v>
      </c>
      <c r="G80" s="4">
        <f t="shared" si="4"/>
        <v>1000</v>
      </c>
      <c r="H80" s="4">
        <f t="shared" si="4"/>
        <v>1000</v>
      </c>
      <c r="I80" s="4">
        <f t="shared" si="4"/>
        <v>1500</v>
      </c>
      <c r="J80" s="1"/>
      <c r="K80" s="1"/>
      <c r="L80" s="1"/>
      <c r="M80" s="1"/>
    </row>
    <row r="81" spans="3:13" ht="12.75">
      <c r="C81" s="1" t="s">
        <v>117</v>
      </c>
      <c r="D81" s="4">
        <v>1800</v>
      </c>
      <c r="E81" s="4"/>
      <c r="F81" s="4"/>
      <c r="G81" s="4"/>
      <c r="H81" s="4">
        <f>Cap_Unit_Price</f>
        <v>1800</v>
      </c>
      <c r="I81" s="4"/>
      <c r="J81" s="1"/>
      <c r="K81" s="1"/>
      <c r="L81" s="1"/>
      <c r="M81" s="1"/>
    </row>
    <row r="82" spans="3:13" ht="12.75">
      <c r="C82" s="1" t="s">
        <v>118</v>
      </c>
      <c r="D82" s="4">
        <v>6000</v>
      </c>
      <c r="E82" s="4"/>
      <c r="F82" s="4"/>
      <c r="G82" s="4">
        <f>Cap_Unit_Price</f>
        <v>6000</v>
      </c>
      <c r="H82" s="4"/>
      <c r="I82" s="4"/>
      <c r="J82" s="1"/>
      <c r="K82" s="1"/>
      <c r="L82" s="1"/>
      <c r="M82" s="1"/>
    </row>
    <row r="83" spans="3:13" ht="12.75">
      <c r="C83" s="1" t="s">
        <v>119</v>
      </c>
      <c r="D83" s="4">
        <v>600</v>
      </c>
      <c r="E83" s="5">
        <f>Cap_Unit_Price</f>
        <v>600</v>
      </c>
      <c r="F83" s="5"/>
      <c r="G83" s="5">
        <f>Cap_Unit_Price</f>
        <v>600</v>
      </c>
      <c r="H83" s="5"/>
      <c r="I83" s="5"/>
      <c r="J83" s="1"/>
      <c r="K83" s="1"/>
      <c r="L83" s="1"/>
      <c r="M83" s="1"/>
    </row>
    <row r="84" spans="2:13" ht="12.75">
      <c r="B84" s="1" t="s">
        <v>114</v>
      </c>
      <c r="D84" s="4"/>
      <c r="E84" s="4">
        <f>SUM(E79:E83)</f>
        <v>5150</v>
      </c>
      <c r="F84" s="4">
        <f>SUM(F79:F83)</f>
        <v>1950</v>
      </c>
      <c r="G84" s="4">
        <f>SUM(G79:G83)</f>
        <v>9200</v>
      </c>
      <c r="H84" s="4">
        <f>SUM(H79:H83)</f>
        <v>4400</v>
      </c>
      <c r="I84" s="4">
        <f>SUM(I79:I83)</f>
        <v>3900</v>
      </c>
      <c r="J84" s="1"/>
      <c r="K84" s="1"/>
      <c r="L84" s="1"/>
      <c r="M84" s="1"/>
    </row>
    <row r="85" spans="4:13" ht="12.75">
      <c r="D85" s="4"/>
      <c r="E85" s="5"/>
      <c r="F85" s="5"/>
      <c r="G85" s="5"/>
      <c r="H85" s="5"/>
      <c r="I85" s="5"/>
      <c r="J85" s="1"/>
      <c r="K85" s="1"/>
      <c r="L85" s="1"/>
      <c r="M85" s="1"/>
    </row>
    <row r="86" spans="2:13" ht="12.75">
      <c r="B86" s="1" t="s">
        <v>359</v>
      </c>
      <c r="D86" s="4"/>
      <c r="E86" s="4">
        <f>E76+E84</f>
        <v>26450</v>
      </c>
      <c r="F86" s="4">
        <f>F76+F84</f>
        <v>12050</v>
      </c>
      <c r="G86" s="4">
        <f>G76+G84</f>
        <v>22100</v>
      </c>
      <c r="H86" s="4">
        <f>H76+H84</f>
        <v>17300</v>
      </c>
      <c r="I86" s="4">
        <f>I76+I84</f>
        <v>22400</v>
      </c>
      <c r="J86" s="1"/>
      <c r="K86" s="1"/>
      <c r="L86" s="1"/>
      <c r="M86" s="1"/>
    </row>
    <row r="87" spans="4:13" ht="12.75">
      <c r="D87" s="4"/>
      <c r="E87" s="4"/>
      <c r="F87" s="4"/>
      <c r="G87" s="4"/>
      <c r="H87" s="4"/>
      <c r="I87" s="4"/>
      <c r="J87" s="1"/>
      <c r="K87" s="1"/>
      <c r="L87" s="1"/>
      <c r="M87" s="1"/>
    </row>
    <row r="88" spans="4:13" ht="12.75">
      <c r="D88" s="14"/>
      <c r="E88" s="4"/>
      <c r="F88" s="4"/>
      <c r="G88" s="4"/>
      <c r="H88" s="4"/>
      <c r="I88" s="4"/>
      <c r="J88" s="1"/>
      <c r="K88" s="1"/>
      <c r="L88" s="1"/>
      <c r="M88" s="1"/>
    </row>
    <row r="89" spans="1:13" ht="12.75">
      <c r="A89" s="2" t="s">
        <v>121</v>
      </c>
      <c r="D89" s="14"/>
      <c r="E89" s="4"/>
      <c r="F89" s="4"/>
      <c r="G89" s="4"/>
      <c r="H89" s="4"/>
      <c r="I89" s="4"/>
      <c r="J89" s="1"/>
      <c r="K89" s="1"/>
      <c r="L89" s="1"/>
      <c r="M89" s="1"/>
    </row>
    <row r="90" spans="2:13" ht="12.75">
      <c r="B90" s="1" t="s">
        <v>122</v>
      </c>
      <c r="D90" s="14"/>
      <c r="E90" s="4"/>
      <c r="F90" s="4"/>
      <c r="G90" s="4"/>
      <c r="H90" s="4"/>
      <c r="I90" s="4"/>
      <c r="J90" s="1"/>
      <c r="K90" s="1"/>
      <c r="L90" s="1"/>
      <c r="M90" s="1"/>
    </row>
    <row r="91" spans="2:13" ht="12.75">
      <c r="B91" s="2"/>
      <c r="C91" s="1" t="s">
        <v>123</v>
      </c>
      <c r="D91" s="14">
        <v>16000</v>
      </c>
      <c r="E91" s="4">
        <f>Cap_Unit_Price</f>
        <v>16000</v>
      </c>
      <c r="F91" s="4"/>
      <c r="G91" s="4"/>
      <c r="H91" s="4"/>
      <c r="I91" s="4"/>
      <c r="J91" s="1"/>
      <c r="K91" s="1"/>
      <c r="L91" s="1"/>
      <c r="M91" s="1"/>
    </row>
    <row r="92" spans="2:13" ht="12.75">
      <c r="B92" s="2"/>
      <c r="C92" s="1" t="s">
        <v>124</v>
      </c>
      <c r="D92" s="14">
        <v>12000</v>
      </c>
      <c r="E92" s="4">
        <f>Cap_Unit_Price</f>
        <v>12000</v>
      </c>
      <c r="F92" s="4"/>
      <c r="G92" s="4"/>
      <c r="H92" s="4"/>
      <c r="I92" s="4"/>
      <c r="J92" s="1"/>
      <c r="K92" s="1"/>
      <c r="L92" s="1"/>
      <c r="M92" s="1"/>
    </row>
    <row r="93" spans="2:13" ht="12.75">
      <c r="B93" s="2"/>
      <c r="C93" s="1" t="s">
        <v>125</v>
      </c>
      <c r="D93" s="4">
        <v>1700</v>
      </c>
      <c r="E93" s="4">
        <f>Cap_Unit_Price</f>
        <v>1700</v>
      </c>
      <c r="F93" s="4"/>
      <c r="G93" s="4"/>
      <c r="H93" s="4"/>
      <c r="I93" s="4"/>
      <c r="J93" s="1"/>
      <c r="K93" s="1"/>
      <c r="L93" s="1"/>
      <c r="M93" s="1"/>
    </row>
    <row r="94" spans="2:13" ht="12.75">
      <c r="B94" s="2"/>
      <c r="C94" s="1" t="s">
        <v>116</v>
      </c>
      <c r="D94" s="14">
        <v>15000</v>
      </c>
      <c r="E94" s="5">
        <f>Cap_Unit_Price</f>
        <v>15000</v>
      </c>
      <c r="F94" s="5"/>
      <c r="G94" s="5"/>
      <c r="H94" s="5"/>
      <c r="I94" s="5"/>
      <c r="J94" s="1"/>
      <c r="K94" s="1"/>
      <c r="L94" s="1"/>
      <c r="M94" s="1"/>
    </row>
    <row r="95" spans="2:13" ht="12.75">
      <c r="B95" s="1" t="s">
        <v>126</v>
      </c>
      <c r="D95" s="14"/>
      <c r="E95" s="4">
        <f>SUM(E91:E94)</f>
        <v>44700</v>
      </c>
      <c r="F95" s="4">
        <f>SUM(F91:F94)</f>
        <v>0</v>
      </c>
      <c r="G95" s="4">
        <f>SUM(G91:G94)</f>
        <v>0</v>
      </c>
      <c r="H95" s="4">
        <f>SUM(H91:H94)</f>
        <v>0</v>
      </c>
      <c r="I95" s="4">
        <f>SUM(I91:I94)</f>
        <v>0</v>
      </c>
      <c r="J95" s="1"/>
      <c r="K95" s="1"/>
      <c r="L95" s="1"/>
      <c r="M95" s="1"/>
    </row>
    <row r="96" spans="5:13" ht="12.75">
      <c r="E96" s="4"/>
      <c r="F96" s="4"/>
      <c r="G96" s="4"/>
      <c r="H96" s="4"/>
      <c r="I96" s="4"/>
      <c r="J96" s="1"/>
      <c r="K96" s="1"/>
      <c r="L96" s="1"/>
      <c r="M96" s="1"/>
    </row>
    <row r="97" spans="2:13" ht="12.75">
      <c r="B97" s="1" t="s">
        <v>127</v>
      </c>
      <c r="D97" s="4"/>
      <c r="E97" s="4"/>
      <c r="F97" s="4"/>
      <c r="G97" s="4"/>
      <c r="H97" s="4"/>
      <c r="I97" s="4"/>
      <c r="J97" s="1"/>
      <c r="K97" s="1"/>
      <c r="L97" s="1"/>
      <c r="M97" s="1"/>
    </row>
    <row r="98" spans="3:13" ht="12.75">
      <c r="C98" s="1" t="s">
        <v>128</v>
      </c>
      <c r="D98" s="4">
        <v>15000</v>
      </c>
      <c r="F98" s="4">
        <v>20000</v>
      </c>
      <c r="G98" s="4"/>
      <c r="H98" s="4"/>
      <c r="I98" s="4"/>
      <c r="J98" s="1"/>
      <c r="K98" s="1"/>
      <c r="L98" s="1"/>
      <c r="M98" s="1"/>
    </row>
    <row r="99" spans="3:13" ht="12.75">
      <c r="C99" s="1" t="s">
        <v>3</v>
      </c>
      <c r="D99" s="4">
        <v>1200</v>
      </c>
      <c r="F99" s="4">
        <f>Cap_Unit_Price</f>
        <v>1200</v>
      </c>
      <c r="G99" s="4"/>
      <c r="H99" s="4"/>
      <c r="I99" s="4"/>
      <c r="J99" s="1"/>
      <c r="K99" s="1"/>
      <c r="L99" s="1"/>
      <c r="M99" s="1"/>
    </row>
    <row r="100" spans="3:13" ht="12.75">
      <c r="C100" s="1" t="s">
        <v>129</v>
      </c>
      <c r="D100" s="4">
        <v>3000</v>
      </c>
      <c r="F100" s="4">
        <f>Cap_Unit_Price*3</f>
        <v>9000</v>
      </c>
      <c r="G100" s="4">
        <f>Cap_Unit_Price</f>
        <v>3000</v>
      </c>
      <c r="H100" s="4">
        <f>Cap_Unit_Price</f>
        <v>3000</v>
      </c>
      <c r="I100" s="4">
        <f>Cap_Unit_Price*2</f>
        <v>6000</v>
      </c>
      <c r="J100" s="1"/>
      <c r="K100" s="1"/>
      <c r="L100" s="1"/>
      <c r="M100" s="1"/>
    </row>
    <row r="101" spans="3:13" ht="12.75">
      <c r="C101" s="1" t="s">
        <v>130</v>
      </c>
      <c r="D101" s="4">
        <v>2400</v>
      </c>
      <c r="E101" s="18"/>
      <c r="F101" s="5">
        <f>Cap_Unit_Price</f>
        <v>2400</v>
      </c>
      <c r="G101" s="5"/>
      <c r="H101" s="5"/>
      <c r="I101" s="5"/>
      <c r="J101" s="1"/>
      <c r="K101" s="1"/>
      <c r="L101" s="1"/>
      <c r="M101" s="1"/>
    </row>
    <row r="102" spans="2:13" ht="12.75">
      <c r="B102" s="1" t="s">
        <v>131</v>
      </c>
      <c r="D102" s="4"/>
      <c r="E102" s="4">
        <f>SUM(E98:E101)</f>
        <v>0</v>
      </c>
      <c r="F102" s="4">
        <f>SUM(F98:F101)</f>
        <v>32600</v>
      </c>
      <c r="G102" s="4">
        <f>SUM(G98:G101)</f>
        <v>3000</v>
      </c>
      <c r="H102" s="4">
        <f>SUM(H98:H101)</f>
        <v>3000</v>
      </c>
      <c r="I102" s="4">
        <f>SUM(I98:I101)</f>
        <v>6000</v>
      </c>
      <c r="J102" s="1"/>
      <c r="K102" s="1"/>
      <c r="L102" s="1"/>
      <c r="M102" s="1"/>
    </row>
    <row r="103" spans="4:13" ht="12.75">
      <c r="D103" s="4"/>
      <c r="E103" s="4"/>
      <c r="F103" s="4"/>
      <c r="G103" s="4"/>
      <c r="H103" s="4"/>
      <c r="I103" s="4"/>
      <c r="J103" s="1"/>
      <c r="K103" s="1"/>
      <c r="L103" s="1"/>
      <c r="M103" s="1"/>
    </row>
    <row r="104" spans="2:13" ht="12.75">
      <c r="B104" s="1" t="s">
        <v>111</v>
      </c>
      <c r="D104" s="4"/>
      <c r="E104" s="4"/>
      <c r="F104" s="4"/>
      <c r="G104" s="4"/>
      <c r="H104" s="4"/>
      <c r="I104" s="4"/>
      <c r="J104" s="1"/>
      <c r="K104" s="1"/>
      <c r="L104" s="1"/>
      <c r="M104" s="1"/>
    </row>
    <row r="105" spans="3:13" ht="12.75">
      <c r="C105" s="1" t="s">
        <v>132</v>
      </c>
      <c r="D105" s="4">
        <v>800</v>
      </c>
      <c r="E105" s="4"/>
      <c r="F105" s="4">
        <f>Cap_Unit_Price</f>
        <v>800</v>
      </c>
      <c r="G105" s="4"/>
      <c r="H105" s="4"/>
      <c r="I105" s="4"/>
      <c r="J105" s="1"/>
      <c r="K105" s="1"/>
      <c r="L105" s="1"/>
      <c r="M105" s="1"/>
    </row>
    <row r="106" spans="3:13" ht="12.75">
      <c r="C106" s="1" t="s">
        <v>133</v>
      </c>
      <c r="D106" s="4">
        <v>250</v>
      </c>
      <c r="E106" s="4"/>
      <c r="F106" s="4">
        <f>Cap_Unit_Price*4</f>
        <v>1000</v>
      </c>
      <c r="G106" s="4"/>
      <c r="H106" s="4"/>
      <c r="I106" s="4"/>
      <c r="J106" s="1"/>
      <c r="K106" s="1"/>
      <c r="L106" s="1"/>
      <c r="M106" s="1"/>
    </row>
    <row r="107" spans="3:13" ht="12.75">
      <c r="C107" s="1" t="s">
        <v>117</v>
      </c>
      <c r="D107" s="4">
        <v>2200</v>
      </c>
      <c r="E107" s="4"/>
      <c r="F107" s="4">
        <f>Cap_Unit_Price</f>
        <v>2200</v>
      </c>
      <c r="G107" s="4"/>
      <c r="H107" s="4"/>
      <c r="I107" s="4"/>
      <c r="J107" s="1"/>
      <c r="K107" s="1"/>
      <c r="L107" s="1"/>
      <c r="M107" s="1"/>
    </row>
    <row r="108" spans="3:13" ht="12.75">
      <c r="C108" s="1" t="s">
        <v>134</v>
      </c>
      <c r="D108" s="4">
        <v>1400</v>
      </c>
      <c r="E108" s="4"/>
      <c r="F108" s="4">
        <f>Cap_Unit_Price</f>
        <v>1400</v>
      </c>
      <c r="G108" s="4"/>
      <c r="H108" s="4"/>
      <c r="I108" s="4"/>
      <c r="J108" s="1"/>
      <c r="K108" s="1"/>
      <c r="L108" s="1"/>
      <c r="M108" s="1"/>
    </row>
    <row r="109" spans="3:13" ht="12.75">
      <c r="C109" s="1" t="s">
        <v>118</v>
      </c>
      <c r="D109" s="4">
        <v>6000</v>
      </c>
      <c r="E109" s="4"/>
      <c r="F109" s="4">
        <f>Cap_Unit_Price</f>
        <v>6000</v>
      </c>
      <c r="G109" s="4"/>
      <c r="H109" s="4">
        <f>Cap_Unit_Price</f>
        <v>6000</v>
      </c>
      <c r="I109" s="4">
        <f>Cap_Unit_Price</f>
        <v>6000</v>
      </c>
      <c r="J109" s="1"/>
      <c r="K109" s="1"/>
      <c r="L109" s="1"/>
      <c r="M109" s="1"/>
    </row>
    <row r="110" spans="3:13" ht="12.75">
      <c r="C110" s="1" t="s">
        <v>119</v>
      </c>
      <c r="D110" s="4">
        <v>600</v>
      </c>
      <c r="E110" s="5"/>
      <c r="F110" s="5">
        <f>Cap_Unit_Price</f>
        <v>600</v>
      </c>
      <c r="G110" s="5"/>
      <c r="H110" s="5"/>
      <c r="I110" s="5"/>
      <c r="J110" s="1"/>
      <c r="K110" s="1"/>
      <c r="L110" s="1"/>
      <c r="M110" s="1"/>
    </row>
    <row r="111" spans="2:13" ht="12.75">
      <c r="B111" s="1" t="s">
        <v>114</v>
      </c>
      <c r="D111" s="4"/>
      <c r="E111" s="4">
        <f>SUM(E105:E110)</f>
        <v>0</v>
      </c>
      <c r="F111" s="4">
        <f>SUM(F105:F110)</f>
        <v>12000</v>
      </c>
      <c r="G111" s="4">
        <f>SUM(G105:G110)</f>
        <v>0</v>
      </c>
      <c r="H111" s="4">
        <f>SUM(H105:H110)</f>
        <v>6000</v>
      </c>
      <c r="I111" s="4">
        <f>SUM(I105:I110)</f>
        <v>6000</v>
      </c>
      <c r="J111" s="1"/>
      <c r="K111" s="1"/>
      <c r="L111" s="1"/>
      <c r="M111" s="1"/>
    </row>
    <row r="112" spans="4:13" ht="12.75">
      <c r="D112" s="4"/>
      <c r="E112" s="5"/>
      <c r="F112" s="5"/>
      <c r="G112" s="5"/>
      <c r="H112" s="5"/>
      <c r="I112" s="5"/>
      <c r="J112" s="1"/>
      <c r="K112" s="1"/>
      <c r="L112" s="1"/>
      <c r="M112" s="1"/>
    </row>
    <row r="113" spans="2:13" ht="12.75">
      <c r="B113" s="1" t="s">
        <v>138</v>
      </c>
      <c r="D113" s="4"/>
      <c r="E113" s="4">
        <f>E95+E102+E111</f>
        <v>44700</v>
      </c>
      <c r="F113" s="4">
        <f>F95+F102+F111</f>
        <v>44600</v>
      </c>
      <c r="G113" s="4">
        <f>G95+G102+G111</f>
        <v>3000</v>
      </c>
      <c r="H113" s="4">
        <f>H95+H102+H111</f>
        <v>9000</v>
      </c>
      <c r="I113" s="4">
        <f>I95+I102+I111</f>
        <v>12000</v>
      </c>
      <c r="J113" s="1"/>
      <c r="K113" s="1"/>
      <c r="L113" s="1"/>
      <c r="M113" s="1"/>
    </row>
    <row r="114" spans="5:13" ht="12.75">
      <c r="E114" s="5"/>
      <c r="F114" s="5"/>
      <c r="G114" s="5"/>
      <c r="H114" s="5"/>
      <c r="I114" s="5"/>
      <c r="J114" s="1"/>
      <c r="K114" s="1"/>
      <c r="L114" s="1"/>
      <c r="M114" s="1"/>
    </row>
    <row r="115" spans="1:13" ht="12.75">
      <c r="A115" s="1" t="s">
        <v>135</v>
      </c>
      <c r="E115" s="4">
        <f>E32+E50+E68+E113</f>
        <v>195300</v>
      </c>
      <c r="F115" s="4">
        <f>F32+F50+F68+F113</f>
        <v>209500</v>
      </c>
      <c r="G115" s="4">
        <f>G32+G50+G68+G113</f>
        <v>148050</v>
      </c>
      <c r="H115" s="4">
        <f>H32+H50+H68+H113</f>
        <v>59800</v>
      </c>
      <c r="I115" s="4">
        <f>I32+I50+I68+I113</f>
        <v>45450</v>
      </c>
      <c r="J115" s="1"/>
      <c r="K115" s="1"/>
      <c r="L115" s="1"/>
      <c r="M115" s="1"/>
    </row>
    <row r="116" spans="5:13" ht="12.75">
      <c r="E116" s="4"/>
      <c r="F116" s="4"/>
      <c r="G116" s="4"/>
      <c r="H116" s="4"/>
      <c r="I116" s="4"/>
      <c r="J116" s="1"/>
      <c r="K116" s="1"/>
      <c r="L116" s="1"/>
      <c r="M116" s="1"/>
    </row>
    <row r="117" spans="5:13" ht="12.75">
      <c r="E117" s="4"/>
      <c r="F117" s="4"/>
      <c r="G117" s="4"/>
      <c r="H117" s="4"/>
      <c r="I117" s="4"/>
      <c r="J117" s="1"/>
      <c r="K117" s="1"/>
      <c r="L117" s="1"/>
      <c r="M117" s="1"/>
    </row>
    <row r="118" spans="5:13" ht="12.75">
      <c r="E118" s="4"/>
      <c r="F118" s="4"/>
      <c r="G118" s="4"/>
      <c r="H118" s="4"/>
      <c r="I118" s="4"/>
      <c r="J118" s="1"/>
      <c r="K118" s="1"/>
      <c r="L118" s="1"/>
      <c r="M118" s="1"/>
    </row>
    <row r="119" spans="5:13" ht="12.75">
      <c r="E119" s="4"/>
      <c r="F119" s="4"/>
      <c r="G119" s="4"/>
      <c r="H119" s="4"/>
      <c r="I119" s="4"/>
      <c r="J119" s="1"/>
      <c r="K119" s="1"/>
      <c r="L119" s="1"/>
      <c r="M119" s="1"/>
    </row>
    <row r="120" spans="5:13" ht="12.75">
      <c r="E120" s="4"/>
      <c r="F120" s="4"/>
      <c r="G120" s="4"/>
      <c r="H120" s="4"/>
      <c r="I120" s="4"/>
      <c r="J120" s="1"/>
      <c r="K120" s="1"/>
      <c r="L120" s="1"/>
      <c r="M120" s="1"/>
    </row>
    <row r="121" spans="5:13" ht="12.75">
      <c r="E121" s="4"/>
      <c r="F121" s="4"/>
      <c r="G121" s="4"/>
      <c r="H121" s="4"/>
      <c r="I121" s="4"/>
      <c r="J121" s="1"/>
      <c r="K121" s="1"/>
      <c r="L121" s="1"/>
      <c r="M121" s="1"/>
    </row>
    <row r="122" spans="5:13" ht="12.75">
      <c r="E122" s="4"/>
      <c r="F122" s="4"/>
      <c r="G122" s="4"/>
      <c r="H122" s="4"/>
      <c r="I122" s="4"/>
      <c r="J122" s="1"/>
      <c r="K122" s="1"/>
      <c r="L122" s="1"/>
      <c r="M122" s="1"/>
    </row>
    <row r="123" spans="5:13" ht="12.75">
      <c r="E123" s="4"/>
      <c r="F123" s="4"/>
      <c r="G123" s="4"/>
      <c r="H123" s="4"/>
      <c r="I123" s="4"/>
      <c r="J123" s="1"/>
      <c r="K123" s="1"/>
      <c r="L123" s="1"/>
      <c r="M123" s="1"/>
    </row>
    <row r="124" spans="5:13" ht="12.75">
      <c r="E124" s="4"/>
      <c r="F124" s="4"/>
      <c r="G124" s="4"/>
      <c r="H124" s="4"/>
      <c r="I124" s="4"/>
      <c r="J124" s="1"/>
      <c r="K124" s="1"/>
      <c r="L124" s="1"/>
      <c r="M124" s="1"/>
    </row>
    <row r="125" spans="5:13" ht="12.75">
      <c r="E125" s="4"/>
      <c r="F125" s="4"/>
      <c r="G125" s="4"/>
      <c r="H125" s="4"/>
      <c r="I125" s="4"/>
      <c r="J125" s="1"/>
      <c r="K125" s="1"/>
      <c r="L125" s="1"/>
      <c r="M125" s="1"/>
    </row>
    <row r="126" spans="5:13" ht="12.75">
      <c r="E126" s="4"/>
      <c r="F126" s="4"/>
      <c r="G126" s="4"/>
      <c r="H126" s="4"/>
      <c r="I126" s="4"/>
      <c r="J126" s="1"/>
      <c r="K126" s="1"/>
      <c r="L126" s="1"/>
      <c r="M126" s="1"/>
    </row>
    <row r="127" spans="5:13" ht="12.75">
      <c r="E127" s="4"/>
      <c r="F127" s="4"/>
      <c r="G127" s="4"/>
      <c r="H127" s="4"/>
      <c r="I127" s="4"/>
      <c r="J127" s="1"/>
      <c r="K127" s="1"/>
      <c r="L127" s="1"/>
      <c r="M127" s="1"/>
    </row>
    <row r="128" spans="5:13" ht="12.75">
      <c r="E128" s="4"/>
      <c r="F128" s="4"/>
      <c r="G128" s="4"/>
      <c r="H128" s="4"/>
      <c r="I128" s="4"/>
      <c r="J128" s="1"/>
      <c r="K128" s="1"/>
      <c r="L128" s="1"/>
      <c r="M128" s="1"/>
    </row>
    <row r="129" spans="5:13" ht="12.75">
      <c r="E129" s="4"/>
      <c r="F129" s="4"/>
      <c r="G129" s="4"/>
      <c r="H129" s="4"/>
      <c r="I129" s="4"/>
      <c r="J129" s="1"/>
      <c r="K129" s="1"/>
      <c r="L129" s="1"/>
      <c r="M129" s="1"/>
    </row>
    <row r="130" spans="5:13" ht="12.75">
      <c r="E130" s="4"/>
      <c r="F130" s="4"/>
      <c r="G130" s="4"/>
      <c r="H130" s="4"/>
      <c r="I130" s="4"/>
      <c r="J130" s="1"/>
      <c r="K130" s="1"/>
      <c r="L130" s="1"/>
      <c r="M130" s="1"/>
    </row>
    <row r="131" spans="5:13" ht="12.75">
      <c r="E131" s="4"/>
      <c r="F131" s="4"/>
      <c r="G131" s="4"/>
      <c r="H131" s="4"/>
      <c r="I131" s="4"/>
      <c r="J131" s="1"/>
      <c r="K131" s="1"/>
      <c r="L131" s="1"/>
      <c r="M131" s="1"/>
    </row>
    <row r="132" spans="5:13" ht="12.75">
      <c r="E132" s="4"/>
      <c r="F132" s="4"/>
      <c r="G132" s="4"/>
      <c r="H132" s="4"/>
      <c r="I132" s="4"/>
      <c r="J132" s="1"/>
      <c r="K132" s="1"/>
      <c r="L132" s="1"/>
      <c r="M132" s="1"/>
    </row>
    <row r="133" spans="5:9" ht="12.75">
      <c r="E133" s="7"/>
      <c r="F133" s="7"/>
      <c r="G133" s="7"/>
      <c r="H133" s="7"/>
      <c r="I133" s="7"/>
    </row>
    <row r="134" spans="5:9" ht="12.75">
      <c r="E134" s="7"/>
      <c r="F134" s="7"/>
      <c r="G134" s="7"/>
      <c r="H134" s="7"/>
      <c r="I134" s="7"/>
    </row>
    <row r="135" spans="5:9" ht="12.75">
      <c r="E135" s="7"/>
      <c r="F135" s="7"/>
      <c r="G135" s="7"/>
      <c r="H135" s="7"/>
      <c r="I135" s="7"/>
    </row>
    <row r="136" spans="5:9" ht="12.75">
      <c r="E136" s="7"/>
      <c r="F136" s="7"/>
      <c r="G136" s="7"/>
      <c r="H136" s="7"/>
      <c r="I136" s="7"/>
    </row>
    <row r="137" spans="5:9" ht="12.75">
      <c r="E137" s="7"/>
      <c r="F137" s="7"/>
      <c r="G137" s="7"/>
      <c r="H137" s="7"/>
      <c r="I137" s="7"/>
    </row>
    <row r="138" spans="5:9" ht="12.75">
      <c r="E138" s="7"/>
      <c r="F138" s="7"/>
      <c r="G138" s="7"/>
      <c r="H138" s="7"/>
      <c r="I138" s="7"/>
    </row>
    <row r="139" spans="5:9" ht="12.75">
      <c r="E139" s="7"/>
      <c r="F139" s="7"/>
      <c r="G139" s="7"/>
      <c r="H139" s="7"/>
      <c r="I139" s="7"/>
    </row>
    <row r="140" spans="5:9" ht="12.75">
      <c r="E140" s="7"/>
      <c r="F140" s="7"/>
      <c r="G140" s="7"/>
      <c r="H140" s="7"/>
      <c r="I140" s="7"/>
    </row>
    <row r="141" spans="5:9" ht="12.75">
      <c r="E141" s="7"/>
      <c r="F141" s="7"/>
      <c r="G141" s="7"/>
      <c r="H141" s="7"/>
      <c r="I141" s="7"/>
    </row>
    <row r="142" spans="5:9" ht="12.75">
      <c r="E142" s="7"/>
      <c r="F142" s="7"/>
      <c r="G142" s="7"/>
      <c r="H142" s="7"/>
      <c r="I142" s="7"/>
    </row>
    <row r="143" spans="5:9" ht="12.75">
      <c r="E143" s="7"/>
      <c r="F143" s="7"/>
      <c r="G143" s="7"/>
      <c r="H143" s="7"/>
      <c r="I143" s="7"/>
    </row>
    <row r="144" spans="5:9" ht="12.75">
      <c r="E144" s="7"/>
      <c r="F144" s="7"/>
      <c r="G144" s="7"/>
      <c r="H144" s="7"/>
      <c r="I144" s="7"/>
    </row>
    <row r="145" spans="5:9" ht="12.75">
      <c r="E145" s="7"/>
      <c r="F145" s="7"/>
      <c r="G145" s="7"/>
      <c r="H145" s="7"/>
      <c r="I145" s="7"/>
    </row>
    <row r="146" spans="5:9" ht="12.75">
      <c r="E146" s="7"/>
      <c r="F146" s="7"/>
      <c r="G146" s="7"/>
      <c r="H146" s="7"/>
      <c r="I146" s="7"/>
    </row>
    <row r="147" spans="5:9" ht="12.75">
      <c r="E147" s="7"/>
      <c r="F147" s="7"/>
      <c r="G147" s="7"/>
      <c r="H147" s="7"/>
      <c r="I147" s="7"/>
    </row>
    <row r="148" spans="5:9" ht="12.75">
      <c r="E148" s="7"/>
      <c r="F148" s="7"/>
      <c r="G148" s="7"/>
      <c r="H148" s="7"/>
      <c r="I148" s="7"/>
    </row>
    <row r="149" spans="5:9" ht="12.75">
      <c r="E149" s="7"/>
      <c r="F149" s="7"/>
      <c r="G149" s="7"/>
      <c r="H149" s="7"/>
      <c r="I149" s="7"/>
    </row>
    <row r="150" spans="5:9" ht="12.75">
      <c r="E150" s="7"/>
      <c r="F150" s="7"/>
      <c r="G150" s="7"/>
      <c r="H150" s="7"/>
      <c r="I150" s="7"/>
    </row>
    <row r="151" spans="5:9" ht="12.75">
      <c r="E151" s="7"/>
      <c r="F151" s="7"/>
      <c r="G151" s="7"/>
      <c r="H151" s="7"/>
      <c r="I151" s="7"/>
    </row>
    <row r="152" spans="5:9" ht="12.75">
      <c r="E152" s="7"/>
      <c r="F152" s="7"/>
      <c r="G152" s="7"/>
      <c r="H152" s="7"/>
      <c r="I152" s="7"/>
    </row>
    <row r="153" spans="5:9" ht="12.75">
      <c r="E153" s="7"/>
      <c r="F153" s="7"/>
      <c r="G153" s="7"/>
      <c r="H153" s="7"/>
      <c r="I153" s="7"/>
    </row>
    <row r="154" spans="5:9" ht="12.75">
      <c r="E154" s="7"/>
      <c r="F154" s="7"/>
      <c r="G154" s="7"/>
      <c r="H154" s="7"/>
      <c r="I154" s="7"/>
    </row>
    <row r="155" spans="5:9" ht="12.75">
      <c r="E155" s="7"/>
      <c r="F155" s="7"/>
      <c r="G155" s="7"/>
      <c r="H155" s="7"/>
      <c r="I155" s="7"/>
    </row>
    <row r="156" spans="5:9" ht="12.75">
      <c r="E156" s="7"/>
      <c r="F156" s="7"/>
      <c r="G156" s="7"/>
      <c r="H156" s="7"/>
      <c r="I156" s="7"/>
    </row>
    <row r="157" spans="5:9" ht="12.75">
      <c r="E157" s="7"/>
      <c r="F157" s="7"/>
      <c r="G157" s="7"/>
      <c r="H157" s="7"/>
      <c r="I157" s="7"/>
    </row>
    <row r="158" spans="5:9" ht="12.75">
      <c r="E158" s="7"/>
      <c r="F158" s="7"/>
      <c r="G158" s="7"/>
      <c r="H158" s="7"/>
      <c r="I158" s="7"/>
    </row>
    <row r="159" spans="5:9" ht="12.75">
      <c r="E159" s="7"/>
      <c r="F159" s="7"/>
      <c r="G159" s="7"/>
      <c r="H159" s="7"/>
      <c r="I159" s="7"/>
    </row>
    <row r="160" spans="5:9" ht="12.75">
      <c r="E160" s="7"/>
      <c r="F160" s="7"/>
      <c r="G160" s="7"/>
      <c r="H160" s="7"/>
      <c r="I160" s="7"/>
    </row>
    <row r="161" spans="5:9" ht="12.75">
      <c r="E161" s="7"/>
      <c r="F161" s="7"/>
      <c r="G161" s="7"/>
      <c r="H161" s="7"/>
      <c r="I161" s="7"/>
    </row>
    <row r="162" spans="5:9" ht="12.75">
      <c r="E162" s="7"/>
      <c r="F162" s="7"/>
      <c r="G162" s="7"/>
      <c r="H162" s="7"/>
      <c r="I162" s="7"/>
    </row>
    <row r="163" spans="5:9" ht="12.75">
      <c r="E163" s="7"/>
      <c r="F163" s="7"/>
      <c r="G163" s="7"/>
      <c r="H163" s="7"/>
      <c r="I163" s="7"/>
    </row>
    <row r="164" spans="5:9" ht="12.75">
      <c r="E164" s="7"/>
      <c r="F164" s="7"/>
      <c r="G164" s="7"/>
      <c r="H164" s="7"/>
      <c r="I164" s="7"/>
    </row>
    <row r="165" spans="5:9" ht="12.75">
      <c r="E165" s="7"/>
      <c r="F165" s="7"/>
      <c r="G165" s="7"/>
      <c r="H165" s="7"/>
      <c r="I165" s="7"/>
    </row>
    <row r="166" spans="5:9" ht="12.75">
      <c r="E166" s="7"/>
      <c r="F166" s="7"/>
      <c r="G166" s="7"/>
      <c r="H166" s="7"/>
      <c r="I166" s="7"/>
    </row>
    <row r="167" spans="5:9" ht="12.75">
      <c r="E167" s="7"/>
      <c r="F167" s="7"/>
      <c r="G167" s="7"/>
      <c r="H167" s="7"/>
      <c r="I167" s="7"/>
    </row>
    <row r="168" spans="5:9" ht="12.75">
      <c r="E168" s="7"/>
      <c r="F168" s="7"/>
      <c r="G168" s="7"/>
      <c r="H168" s="7"/>
      <c r="I168" s="7"/>
    </row>
    <row r="169" spans="5:9" ht="12.75">
      <c r="E169" s="7"/>
      <c r="F169" s="7"/>
      <c r="G169" s="7"/>
      <c r="H169" s="7"/>
      <c r="I169" s="7"/>
    </row>
    <row r="170" spans="5:9" ht="12.75">
      <c r="E170" s="7"/>
      <c r="F170" s="7"/>
      <c r="G170" s="7"/>
      <c r="H170" s="7"/>
      <c r="I170" s="7"/>
    </row>
    <row r="171" spans="5:9" ht="12.75">
      <c r="E171" s="7"/>
      <c r="F171" s="7"/>
      <c r="G171" s="7"/>
      <c r="H171" s="7"/>
      <c r="I171" s="7"/>
    </row>
    <row r="172" spans="5:9" ht="12.75">
      <c r="E172" s="7"/>
      <c r="F172" s="7"/>
      <c r="G172" s="7"/>
      <c r="H172" s="7"/>
      <c r="I172" s="7"/>
    </row>
    <row r="173" spans="5:9" ht="12.75">
      <c r="E173" s="7"/>
      <c r="F173" s="7"/>
      <c r="G173" s="7"/>
      <c r="H173" s="7"/>
      <c r="I173" s="7"/>
    </row>
    <row r="174" spans="5:9" ht="12.75">
      <c r="E174" s="7"/>
      <c r="F174" s="7"/>
      <c r="G174" s="7"/>
      <c r="H174" s="7"/>
      <c r="I174" s="7"/>
    </row>
    <row r="175" spans="5:9" ht="12.75">
      <c r="E175" s="7"/>
      <c r="F175" s="7"/>
      <c r="G175" s="7"/>
      <c r="H175" s="7"/>
      <c r="I175" s="7"/>
    </row>
    <row r="176" spans="5:9" ht="12.75">
      <c r="E176" s="7"/>
      <c r="F176" s="7"/>
      <c r="G176" s="7"/>
      <c r="H176" s="7"/>
      <c r="I176" s="7"/>
    </row>
    <row r="177" spans="5:9" ht="12.75">
      <c r="E177" s="7"/>
      <c r="F177" s="7"/>
      <c r="G177" s="7"/>
      <c r="H177" s="7"/>
      <c r="I177" s="7"/>
    </row>
    <row r="178" spans="5:9" ht="12.75">
      <c r="E178" s="7"/>
      <c r="F178" s="7"/>
      <c r="G178" s="7"/>
      <c r="H178" s="7"/>
      <c r="I178" s="7"/>
    </row>
    <row r="179" spans="5:9" ht="12.75">
      <c r="E179" s="7"/>
      <c r="F179" s="7"/>
      <c r="G179" s="7"/>
      <c r="H179" s="7"/>
      <c r="I179" s="7"/>
    </row>
    <row r="180" spans="5:9" ht="12.75">
      <c r="E180" s="7"/>
      <c r="F180" s="7"/>
      <c r="G180" s="7"/>
      <c r="H180" s="7"/>
      <c r="I180" s="7"/>
    </row>
    <row r="181" spans="5:9" ht="12.75">
      <c r="E181" s="7"/>
      <c r="F181" s="7"/>
      <c r="G181" s="7"/>
      <c r="H181" s="7"/>
      <c r="I181" s="7"/>
    </row>
    <row r="182" spans="5:9" ht="12.75">
      <c r="E182" s="7"/>
      <c r="F182" s="7"/>
      <c r="G182" s="7"/>
      <c r="H182" s="7"/>
      <c r="I182" s="7"/>
    </row>
    <row r="183" spans="5:9" ht="12.75">
      <c r="E183" s="7"/>
      <c r="F183" s="7"/>
      <c r="G183" s="7"/>
      <c r="H183" s="7"/>
      <c r="I183" s="7"/>
    </row>
    <row r="184" spans="5:9" ht="12.75">
      <c r="E184" s="7"/>
      <c r="F184" s="7"/>
      <c r="G184" s="7"/>
      <c r="H184" s="7"/>
      <c r="I184" s="7"/>
    </row>
    <row r="185" spans="5:9" ht="12.75">
      <c r="E185" s="7"/>
      <c r="F185" s="7"/>
      <c r="G185" s="7"/>
      <c r="H185" s="7"/>
      <c r="I185" s="7"/>
    </row>
    <row r="186" spans="5:9" ht="12.75">
      <c r="E186" s="7"/>
      <c r="F186" s="7"/>
      <c r="G186" s="7"/>
      <c r="H186" s="7"/>
      <c r="I186" s="7"/>
    </row>
    <row r="187" spans="5:9" ht="12.75">
      <c r="E187" s="7"/>
      <c r="F187" s="7"/>
      <c r="G187" s="7"/>
      <c r="H187" s="7"/>
      <c r="I187" s="7"/>
    </row>
    <row r="188" spans="5:9" ht="12.75">
      <c r="E188" s="7"/>
      <c r="F188" s="7"/>
      <c r="G188" s="7"/>
      <c r="H188" s="7"/>
      <c r="I188" s="7"/>
    </row>
    <row r="189" spans="5:9" ht="12.75">
      <c r="E189" s="7"/>
      <c r="F189" s="7"/>
      <c r="G189" s="7"/>
      <c r="H189" s="7"/>
      <c r="I189" s="7"/>
    </row>
    <row r="190" spans="5:9" ht="12.75">
      <c r="E190" s="7"/>
      <c r="F190" s="7"/>
      <c r="G190" s="7"/>
      <c r="H190" s="7"/>
      <c r="I190" s="7"/>
    </row>
    <row r="191" spans="5:9" ht="12.75">
      <c r="E191" s="7"/>
      <c r="F191" s="7"/>
      <c r="G191" s="7"/>
      <c r="H191" s="7"/>
      <c r="I191" s="7"/>
    </row>
    <row r="192" spans="5:9" ht="12.75">
      <c r="E192" s="7"/>
      <c r="F192" s="7"/>
      <c r="G192" s="7"/>
      <c r="H192" s="7"/>
      <c r="I192" s="7"/>
    </row>
    <row r="193" spans="5:9" ht="12.75">
      <c r="E193" s="7"/>
      <c r="F193" s="7"/>
      <c r="G193" s="7"/>
      <c r="H193" s="7"/>
      <c r="I193" s="7"/>
    </row>
    <row r="194" spans="5:9" ht="12.75">
      <c r="E194" s="7"/>
      <c r="F194" s="7"/>
      <c r="G194" s="7"/>
      <c r="H194" s="7"/>
      <c r="I194" s="7"/>
    </row>
    <row r="195" spans="5:9" ht="12.75">
      <c r="E195" s="7"/>
      <c r="F195" s="7"/>
      <c r="G195" s="7"/>
      <c r="H195" s="7"/>
      <c r="I195" s="7"/>
    </row>
    <row r="196" spans="5:9" ht="12.75">
      <c r="E196" s="7"/>
      <c r="F196" s="7"/>
      <c r="G196" s="7"/>
      <c r="H196" s="7"/>
      <c r="I196" s="7"/>
    </row>
    <row r="197" spans="5:9" ht="12.75">
      <c r="E197" s="7"/>
      <c r="F197" s="7"/>
      <c r="G197" s="7"/>
      <c r="H197" s="7"/>
      <c r="I197" s="7"/>
    </row>
    <row r="198" spans="5:9" ht="12.75">
      <c r="E198" s="7"/>
      <c r="F198" s="7"/>
      <c r="G198" s="7"/>
      <c r="H198" s="7"/>
      <c r="I198" s="7"/>
    </row>
    <row r="199" spans="5:9" ht="12.75">
      <c r="E199" s="7"/>
      <c r="F199" s="7"/>
      <c r="G199" s="7"/>
      <c r="H199" s="7"/>
      <c r="I199" s="7"/>
    </row>
    <row r="200" spans="5:9" ht="12.75">
      <c r="E200" s="7"/>
      <c r="F200" s="7"/>
      <c r="G200" s="7"/>
      <c r="H200" s="7"/>
      <c r="I200" s="7"/>
    </row>
    <row r="201" spans="5:9" ht="12.75">
      <c r="E201" s="7"/>
      <c r="F201" s="7"/>
      <c r="G201" s="7"/>
      <c r="H201" s="7"/>
      <c r="I201" s="7"/>
    </row>
    <row r="202" spans="5:9" ht="12.75">
      <c r="E202" s="7"/>
      <c r="F202" s="7"/>
      <c r="G202" s="7"/>
      <c r="H202" s="7"/>
      <c r="I202" s="7"/>
    </row>
    <row r="203" spans="5:9" ht="12.75">
      <c r="E203" s="7"/>
      <c r="F203" s="7"/>
      <c r="G203" s="7"/>
      <c r="H203" s="7"/>
      <c r="I203" s="7"/>
    </row>
    <row r="204" spans="5:9" ht="12.75">
      <c r="E204" s="7"/>
      <c r="F204" s="7"/>
      <c r="G204" s="7"/>
      <c r="H204" s="7"/>
      <c r="I204" s="7"/>
    </row>
    <row r="205" spans="5:9" ht="12.75">
      <c r="E205" s="7"/>
      <c r="F205" s="7"/>
      <c r="G205" s="7"/>
      <c r="H205" s="7"/>
      <c r="I205" s="7"/>
    </row>
    <row r="206" spans="5:9" ht="12.75">
      <c r="E206" s="7"/>
      <c r="F206" s="7"/>
      <c r="G206" s="7"/>
      <c r="H206" s="7"/>
      <c r="I206" s="7"/>
    </row>
    <row r="207" spans="5:9" ht="12.75">
      <c r="E207" s="7"/>
      <c r="F207" s="7"/>
      <c r="G207" s="7"/>
      <c r="H207" s="7"/>
      <c r="I207" s="7"/>
    </row>
    <row r="208" spans="5:9" ht="12.75">
      <c r="E208" s="7"/>
      <c r="F208" s="7"/>
      <c r="G208" s="7"/>
      <c r="H208" s="7"/>
      <c r="I208" s="7"/>
    </row>
    <row r="209" spans="5:9" ht="12.75">
      <c r="E209" s="7"/>
      <c r="F209" s="7"/>
      <c r="G209" s="7"/>
      <c r="H209" s="7"/>
      <c r="I209" s="7"/>
    </row>
    <row r="210" spans="5:9" ht="12.75">
      <c r="E210" s="7"/>
      <c r="F210" s="7"/>
      <c r="G210" s="7"/>
      <c r="H210" s="7"/>
      <c r="I210" s="7"/>
    </row>
    <row r="211" spans="5:9" ht="12.75">
      <c r="E211" s="7"/>
      <c r="F211" s="7"/>
      <c r="G211" s="7"/>
      <c r="H211" s="7"/>
      <c r="I211" s="7"/>
    </row>
    <row r="212" spans="5:9" ht="12.75">
      <c r="E212" s="7"/>
      <c r="F212" s="7"/>
      <c r="G212" s="7"/>
      <c r="H212" s="7"/>
      <c r="I212" s="7"/>
    </row>
    <row r="213" spans="5:9" ht="12.75">
      <c r="E213" s="7"/>
      <c r="F213" s="7"/>
      <c r="G213" s="7"/>
      <c r="H213" s="7"/>
      <c r="I213" s="7"/>
    </row>
    <row r="214" spans="5:9" ht="12.75">
      <c r="E214" s="7"/>
      <c r="F214" s="7"/>
      <c r="G214" s="7"/>
      <c r="H214" s="7"/>
      <c r="I214" s="7"/>
    </row>
    <row r="215" spans="5:9" ht="12.75">
      <c r="E215" s="7"/>
      <c r="F215" s="7"/>
      <c r="G215" s="7"/>
      <c r="H215" s="7"/>
      <c r="I215" s="7"/>
    </row>
    <row r="216" spans="5:9" ht="12.75">
      <c r="E216" s="7"/>
      <c r="F216" s="7"/>
      <c r="G216" s="7"/>
      <c r="H216" s="7"/>
      <c r="I216" s="7"/>
    </row>
    <row r="217" spans="5:9" ht="12.75">
      <c r="E217" s="7"/>
      <c r="F217" s="7"/>
      <c r="G217" s="7"/>
      <c r="H217" s="7"/>
      <c r="I217" s="7"/>
    </row>
    <row r="218" spans="5:9" ht="12.75">
      <c r="E218" s="7"/>
      <c r="F218" s="7"/>
      <c r="G218" s="7"/>
      <c r="H218" s="7"/>
      <c r="I218" s="7"/>
    </row>
    <row r="219" spans="5:9" ht="12.75">
      <c r="E219" s="7"/>
      <c r="F219" s="7"/>
      <c r="G219" s="7"/>
      <c r="H219" s="7"/>
      <c r="I219" s="7"/>
    </row>
    <row r="220" spans="5:9" ht="12.75">
      <c r="E220" s="7"/>
      <c r="F220" s="7"/>
      <c r="G220" s="7"/>
      <c r="H220" s="7"/>
      <c r="I220" s="7"/>
    </row>
    <row r="221" spans="5:9" ht="12.75">
      <c r="E221" s="7"/>
      <c r="F221" s="7"/>
      <c r="G221" s="7"/>
      <c r="H221" s="7"/>
      <c r="I221" s="7"/>
    </row>
    <row r="222" spans="5:9" ht="12.75">
      <c r="E222" s="7"/>
      <c r="F222" s="7"/>
      <c r="G222" s="7"/>
      <c r="H222" s="7"/>
      <c r="I222" s="7"/>
    </row>
    <row r="223" spans="5:9" ht="12.75">
      <c r="E223" s="7"/>
      <c r="F223" s="7"/>
      <c r="G223" s="7"/>
      <c r="H223" s="7"/>
      <c r="I223" s="7"/>
    </row>
    <row r="224" spans="5:9" ht="12.75">
      <c r="E224" s="7"/>
      <c r="F224" s="7"/>
      <c r="G224" s="7"/>
      <c r="H224" s="7"/>
      <c r="I224" s="7"/>
    </row>
    <row r="225" spans="5:9" ht="12.75">
      <c r="E225" s="7"/>
      <c r="F225" s="7"/>
      <c r="G225" s="7"/>
      <c r="H225" s="7"/>
      <c r="I225" s="7"/>
    </row>
    <row r="226" spans="5:9" ht="12.75">
      <c r="E226" s="7"/>
      <c r="F226" s="7"/>
      <c r="G226" s="7"/>
      <c r="H226" s="7"/>
      <c r="I226" s="7"/>
    </row>
    <row r="227" spans="5:9" ht="12.75">
      <c r="E227" s="7"/>
      <c r="F227" s="7"/>
      <c r="G227" s="7"/>
      <c r="H227" s="7"/>
      <c r="I227" s="7"/>
    </row>
    <row r="228" spans="5:9" ht="12.75">
      <c r="E228" s="7"/>
      <c r="F228" s="7"/>
      <c r="G228" s="7"/>
      <c r="H228" s="7"/>
      <c r="I228" s="7"/>
    </row>
    <row r="229" spans="5:9" ht="12.75">
      <c r="E229" s="7"/>
      <c r="F229" s="7"/>
      <c r="G229" s="7"/>
      <c r="H229" s="7"/>
      <c r="I229" s="7"/>
    </row>
    <row r="230" spans="5:9" ht="12.75">
      <c r="E230" s="7"/>
      <c r="F230" s="7"/>
      <c r="G230" s="7"/>
      <c r="H230" s="7"/>
      <c r="I230" s="7"/>
    </row>
    <row r="231" spans="5:9" ht="12.75">
      <c r="E231" s="7"/>
      <c r="F231" s="7"/>
      <c r="G231" s="7"/>
      <c r="H231" s="7"/>
      <c r="I231" s="7"/>
    </row>
    <row r="232" spans="5:9" ht="12.75">
      <c r="E232" s="7"/>
      <c r="F232" s="7"/>
      <c r="G232" s="7"/>
      <c r="H232" s="7"/>
      <c r="I232" s="7"/>
    </row>
    <row r="233" spans="5:9" ht="12.75">
      <c r="E233" s="7"/>
      <c r="F233" s="7"/>
      <c r="G233" s="7"/>
      <c r="H233" s="7"/>
      <c r="I233" s="7"/>
    </row>
    <row r="234" spans="5:9" ht="12.75">
      <c r="E234" s="7"/>
      <c r="F234" s="7"/>
      <c r="G234" s="7"/>
      <c r="H234" s="7"/>
      <c r="I234" s="7"/>
    </row>
    <row r="235" spans="5:9" ht="12.75">
      <c r="E235" s="7"/>
      <c r="F235" s="7"/>
      <c r="G235" s="7"/>
      <c r="H235" s="7"/>
      <c r="I235" s="7"/>
    </row>
    <row r="236" spans="5:9" ht="12.75">
      <c r="E236" s="7"/>
      <c r="F236" s="7"/>
      <c r="G236" s="7"/>
      <c r="H236" s="7"/>
      <c r="I236" s="7"/>
    </row>
    <row r="237" spans="5:9" ht="12.75">
      <c r="E237" s="7"/>
      <c r="F237" s="7"/>
      <c r="G237" s="7"/>
      <c r="H237" s="7"/>
      <c r="I237" s="7"/>
    </row>
    <row r="238" spans="5:9" ht="12.75">
      <c r="E238" s="7"/>
      <c r="F238" s="7"/>
      <c r="G238" s="7"/>
      <c r="H238" s="7"/>
      <c r="I238" s="7"/>
    </row>
    <row r="239" spans="5:9" ht="12.75">
      <c r="E239" s="7"/>
      <c r="F239" s="7"/>
      <c r="G239" s="7"/>
      <c r="H239" s="7"/>
      <c r="I239" s="7"/>
    </row>
    <row r="240" spans="5:9" ht="12.75">
      <c r="E240" s="7"/>
      <c r="F240" s="7"/>
      <c r="G240" s="7"/>
      <c r="H240" s="7"/>
      <c r="I240" s="7"/>
    </row>
    <row r="241" spans="5:9" ht="12.75">
      <c r="E241" s="7"/>
      <c r="F241" s="7"/>
      <c r="G241" s="7"/>
      <c r="H241" s="7"/>
      <c r="I241" s="7"/>
    </row>
    <row r="242" spans="5:9" ht="12.75">
      <c r="E242" s="7"/>
      <c r="F242" s="7"/>
      <c r="G242" s="7"/>
      <c r="H242" s="7"/>
      <c r="I242" s="7"/>
    </row>
    <row r="243" spans="5:9" ht="12.75">
      <c r="E243" s="7"/>
      <c r="F243" s="7"/>
      <c r="G243" s="7"/>
      <c r="H243" s="7"/>
      <c r="I243" s="7"/>
    </row>
    <row r="244" spans="5:9" ht="12.75">
      <c r="E244" s="7"/>
      <c r="F244" s="7"/>
      <c r="G244" s="7"/>
      <c r="H244" s="7"/>
      <c r="I244" s="7"/>
    </row>
    <row r="245" spans="5:9" ht="12.75">
      <c r="E245" s="7"/>
      <c r="F245" s="7"/>
      <c r="G245" s="7"/>
      <c r="H245" s="7"/>
      <c r="I245" s="7"/>
    </row>
    <row r="246" spans="5:9" ht="12.75">
      <c r="E246" s="7"/>
      <c r="F246" s="7"/>
      <c r="G246" s="7"/>
      <c r="H246" s="7"/>
      <c r="I246" s="7"/>
    </row>
    <row r="247" spans="5:9" ht="12.75">
      <c r="E247" s="7"/>
      <c r="F247" s="7"/>
      <c r="G247" s="7"/>
      <c r="H247" s="7"/>
      <c r="I247" s="7"/>
    </row>
    <row r="248" spans="5:9" ht="12.75">
      <c r="E248" s="7"/>
      <c r="F248" s="7"/>
      <c r="G248" s="7"/>
      <c r="H248" s="7"/>
      <c r="I248" s="7"/>
    </row>
    <row r="249" spans="5:9" ht="12.75">
      <c r="E249" s="7"/>
      <c r="F249" s="7"/>
      <c r="G249" s="7"/>
      <c r="H249" s="7"/>
      <c r="I249" s="7"/>
    </row>
    <row r="250" spans="5:9" ht="12.75">
      <c r="E250" s="7"/>
      <c r="F250" s="7"/>
      <c r="G250" s="7"/>
      <c r="H250" s="7"/>
      <c r="I250" s="7"/>
    </row>
    <row r="251" spans="5:9" ht="12.75">
      <c r="E251" s="7"/>
      <c r="F251" s="7"/>
      <c r="G251" s="7"/>
      <c r="H251" s="7"/>
      <c r="I251" s="7"/>
    </row>
    <row r="252" spans="5:9" ht="12.75">
      <c r="E252" s="7"/>
      <c r="F252" s="7"/>
      <c r="G252" s="7"/>
      <c r="H252" s="7"/>
      <c r="I252" s="7"/>
    </row>
    <row r="253" spans="5:9" ht="12.75">
      <c r="E253" s="7"/>
      <c r="F253" s="7"/>
      <c r="G253" s="7"/>
      <c r="H253" s="7"/>
      <c r="I253" s="7"/>
    </row>
    <row r="254" spans="5:9" ht="12.75">
      <c r="E254" s="7"/>
      <c r="F254" s="7"/>
      <c r="G254" s="7"/>
      <c r="H254" s="7"/>
      <c r="I254" s="7"/>
    </row>
    <row r="255" spans="5:9" ht="12.75">
      <c r="E255" s="7"/>
      <c r="F255" s="7"/>
      <c r="G255" s="7"/>
      <c r="H255" s="7"/>
      <c r="I255" s="7"/>
    </row>
    <row r="256" spans="5:9" ht="12.75">
      <c r="E256" s="7"/>
      <c r="F256" s="7"/>
      <c r="G256" s="7"/>
      <c r="H256" s="7"/>
      <c r="I256" s="7"/>
    </row>
    <row r="257" spans="5:9" ht="12.75">
      <c r="E257" s="7"/>
      <c r="F257" s="7"/>
      <c r="G257" s="7"/>
      <c r="H257" s="7"/>
      <c r="I257" s="7"/>
    </row>
    <row r="258" spans="5:9" ht="12.75">
      <c r="E258" s="7"/>
      <c r="F258" s="7"/>
      <c r="G258" s="7"/>
      <c r="H258" s="7"/>
      <c r="I258" s="7"/>
    </row>
    <row r="259" spans="5:9" ht="12.75">
      <c r="E259" s="7"/>
      <c r="F259" s="7"/>
      <c r="G259" s="7"/>
      <c r="H259" s="7"/>
      <c r="I259" s="7"/>
    </row>
    <row r="260" spans="5:9" ht="12.75">
      <c r="E260" s="7"/>
      <c r="F260" s="7"/>
      <c r="G260" s="7"/>
      <c r="H260" s="7"/>
      <c r="I260" s="7"/>
    </row>
    <row r="261" spans="5:9" ht="12.75">
      <c r="E261" s="7"/>
      <c r="F261" s="7"/>
      <c r="G261" s="7"/>
      <c r="H261" s="7"/>
      <c r="I261" s="7"/>
    </row>
    <row r="262" spans="5:9" ht="12.75">
      <c r="E262" s="7"/>
      <c r="F262" s="7"/>
      <c r="G262" s="7"/>
      <c r="H262" s="7"/>
      <c r="I262" s="7"/>
    </row>
    <row r="263" spans="5:9" ht="12.75">
      <c r="E263" s="7"/>
      <c r="F263" s="7"/>
      <c r="G263" s="7"/>
      <c r="H263" s="7"/>
      <c r="I263" s="7"/>
    </row>
    <row r="264" spans="5:9" ht="12.75">
      <c r="E264" s="7"/>
      <c r="F264" s="7"/>
      <c r="G264" s="7"/>
      <c r="H264" s="7"/>
      <c r="I264" s="7"/>
    </row>
    <row r="265" spans="5:9" ht="12.75">
      <c r="E265" s="7"/>
      <c r="F265" s="7"/>
      <c r="G265" s="7"/>
      <c r="H265" s="7"/>
      <c r="I265" s="7"/>
    </row>
    <row r="266" spans="5:9" ht="12.75">
      <c r="E266" s="7"/>
      <c r="F266" s="7"/>
      <c r="G266" s="7"/>
      <c r="H266" s="7"/>
      <c r="I266" s="7"/>
    </row>
    <row r="267" spans="5:9" ht="12.75">
      <c r="E267" s="7"/>
      <c r="F267" s="7"/>
      <c r="G267" s="7"/>
      <c r="H267" s="7"/>
      <c r="I267" s="7"/>
    </row>
    <row r="268" spans="5:9" ht="12.75">
      <c r="E268" s="7"/>
      <c r="F268" s="7"/>
      <c r="G268" s="7"/>
      <c r="H268" s="7"/>
      <c r="I268" s="7"/>
    </row>
    <row r="269" spans="5:9" ht="12.75">
      <c r="E269" s="7"/>
      <c r="F269" s="7"/>
      <c r="G269" s="7"/>
      <c r="H269" s="7"/>
      <c r="I269" s="7"/>
    </row>
    <row r="270" spans="5:9" ht="12.75">
      <c r="E270" s="7"/>
      <c r="F270" s="7"/>
      <c r="G270" s="7"/>
      <c r="H270" s="7"/>
      <c r="I270" s="7"/>
    </row>
    <row r="271" spans="5:9" ht="12.75">
      <c r="E271" s="7"/>
      <c r="F271" s="7"/>
      <c r="G271" s="7"/>
      <c r="H271" s="7"/>
      <c r="I271" s="7"/>
    </row>
    <row r="272" spans="5:9" ht="12.75">
      <c r="E272" s="7"/>
      <c r="F272" s="7"/>
      <c r="G272" s="7"/>
      <c r="H272" s="7"/>
      <c r="I272" s="7"/>
    </row>
    <row r="273" spans="5:9" ht="12.75">
      <c r="E273" s="7"/>
      <c r="F273" s="7"/>
      <c r="G273" s="7"/>
      <c r="H273" s="7"/>
      <c r="I273" s="7"/>
    </row>
    <row r="274" spans="5:9" ht="12.75">
      <c r="E274" s="7"/>
      <c r="F274" s="7"/>
      <c r="G274" s="7"/>
      <c r="H274" s="7"/>
      <c r="I274" s="7"/>
    </row>
    <row r="275" spans="5:9" ht="12.75">
      <c r="E275" s="7"/>
      <c r="F275" s="7"/>
      <c r="G275" s="7"/>
      <c r="H275" s="7"/>
      <c r="I275" s="7"/>
    </row>
    <row r="276" spans="5:9" ht="12.75">
      <c r="E276" s="7"/>
      <c r="F276" s="7"/>
      <c r="G276" s="7"/>
      <c r="H276" s="7"/>
      <c r="I276" s="7"/>
    </row>
    <row r="277" spans="5:9" ht="12.75">
      <c r="E277" s="7"/>
      <c r="F277" s="7"/>
      <c r="G277" s="7"/>
      <c r="H277" s="7"/>
      <c r="I277" s="7"/>
    </row>
    <row r="278" spans="5:9" ht="12.75">
      <c r="E278" s="7"/>
      <c r="F278" s="7"/>
      <c r="G278" s="7"/>
      <c r="H278" s="7"/>
      <c r="I278" s="7"/>
    </row>
    <row r="279" spans="5:9" ht="12.75">
      <c r="E279" s="7"/>
      <c r="F279" s="7"/>
      <c r="G279" s="7"/>
      <c r="H279" s="7"/>
      <c r="I279" s="7"/>
    </row>
    <row r="280" spans="5:9" ht="12.75">
      <c r="E280" s="7"/>
      <c r="F280" s="7"/>
      <c r="G280" s="7"/>
      <c r="H280" s="7"/>
      <c r="I280" s="7"/>
    </row>
    <row r="281" spans="5:9" ht="12.75">
      <c r="E281" s="7"/>
      <c r="F281" s="7"/>
      <c r="G281" s="7"/>
      <c r="H281" s="7"/>
      <c r="I281" s="7"/>
    </row>
    <row r="282" spans="5:9" ht="12.75">
      <c r="E282" s="7"/>
      <c r="F282" s="7"/>
      <c r="G282" s="7"/>
      <c r="H282" s="7"/>
      <c r="I282" s="7"/>
    </row>
    <row r="283" spans="5:9" ht="12.75">
      <c r="E283" s="7"/>
      <c r="F283" s="7"/>
      <c r="G283" s="7"/>
      <c r="H283" s="7"/>
      <c r="I283" s="7"/>
    </row>
    <row r="284" spans="5:9" ht="12.75">
      <c r="E284" s="7"/>
      <c r="F284" s="7"/>
      <c r="G284" s="7"/>
      <c r="H284" s="7"/>
      <c r="I284" s="7"/>
    </row>
    <row r="285" spans="5:9" ht="12.75">
      <c r="E285" s="7"/>
      <c r="F285" s="7"/>
      <c r="G285" s="7"/>
      <c r="H285" s="7"/>
      <c r="I285" s="7"/>
    </row>
    <row r="286" spans="5:9" ht="12.75">
      <c r="E286" s="7"/>
      <c r="F286" s="7"/>
      <c r="G286" s="7"/>
      <c r="H286" s="7"/>
      <c r="I286" s="7"/>
    </row>
    <row r="287" spans="5:9" ht="12.75">
      <c r="E287" s="7"/>
      <c r="F287" s="7"/>
      <c r="G287" s="7"/>
      <c r="H287" s="7"/>
      <c r="I287" s="7"/>
    </row>
    <row r="288" spans="5:9" ht="12.75">
      <c r="E288" s="7"/>
      <c r="F288" s="7"/>
      <c r="G288" s="7"/>
      <c r="H288" s="7"/>
      <c r="I288" s="7"/>
    </row>
    <row r="289" spans="5:9" ht="12.75">
      <c r="E289" s="7"/>
      <c r="F289" s="7"/>
      <c r="G289" s="7"/>
      <c r="H289" s="7"/>
      <c r="I289" s="7"/>
    </row>
    <row r="290" spans="5:9" ht="12.75">
      <c r="E290" s="7"/>
      <c r="F290" s="7"/>
      <c r="G290" s="7"/>
      <c r="H290" s="7"/>
      <c r="I290" s="7"/>
    </row>
    <row r="291" spans="5:9" ht="12.75">
      <c r="E291" s="7"/>
      <c r="F291" s="7"/>
      <c r="G291" s="7"/>
      <c r="H291" s="7"/>
      <c r="I291" s="7"/>
    </row>
    <row r="292" spans="5:9" ht="12.75">
      <c r="E292" s="7"/>
      <c r="F292" s="7"/>
      <c r="G292" s="7"/>
      <c r="H292" s="7"/>
      <c r="I292" s="7"/>
    </row>
    <row r="293" spans="5:9" ht="12.75">
      <c r="E293" s="7"/>
      <c r="F293" s="7"/>
      <c r="G293" s="7"/>
      <c r="H293" s="7"/>
      <c r="I293" s="7"/>
    </row>
    <row r="294" spans="5:9" ht="12.75">
      <c r="E294" s="7"/>
      <c r="F294" s="7"/>
      <c r="G294" s="7"/>
      <c r="H294" s="7"/>
      <c r="I294" s="7"/>
    </row>
    <row r="295" spans="5:9" ht="12.75">
      <c r="E295" s="7"/>
      <c r="F295" s="7"/>
      <c r="G295" s="7"/>
      <c r="H295" s="7"/>
      <c r="I295" s="7"/>
    </row>
    <row r="296" spans="5:9" ht="12.75">
      <c r="E296" s="7"/>
      <c r="F296" s="7"/>
      <c r="G296" s="7"/>
      <c r="H296" s="7"/>
      <c r="I296" s="7"/>
    </row>
    <row r="297" spans="5:9" ht="12.75">
      <c r="E297" s="7"/>
      <c r="F297" s="7"/>
      <c r="G297" s="7"/>
      <c r="H297" s="7"/>
      <c r="I297" s="7"/>
    </row>
    <row r="298" spans="5:9" ht="12.75">
      <c r="E298" s="7"/>
      <c r="F298" s="7"/>
      <c r="G298" s="7"/>
      <c r="H298" s="7"/>
      <c r="I298" s="7"/>
    </row>
    <row r="299" spans="5:9" ht="12.75">
      <c r="E299" s="7"/>
      <c r="F299" s="7"/>
      <c r="G299" s="7"/>
      <c r="H299" s="7"/>
      <c r="I299" s="7"/>
    </row>
    <row r="300" spans="5:9" ht="12.75">
      <c r="E300" s="7"/>
      <c r="F300" s="7"/>
      <c r="G300" s="7"/>
      <c r="H300" s="7"/>
      <c r="I300" s="7"/>
    </row>
    <row r="301" spans="5:9" ht="12.75">
      <c r="E301" s="7"/>
      <c r="F301" s="7"/>
      <c r="G301" s="7"/>
      <c r="H301" s="7"/>
      <c r="I301" s="7"/>
    </row>
    <row r="302" spans="5:9" ht="12.75">
      <c r="E302" s="7"/>
      <c r="F302" s="7"/>
      <c r="G302" s="7"/>
      <c r="H302" s="7"/>
      <c r="I302" s="7"/>
    </row>
    <row r="303" spans="5:9" ht="12.75">
      <c r="E303" s="7"/>
      <c r="F303" s="7"/>
      <c r="G303" s="7"/>
      <c r="H303" s="7"/>
      <c r="I303" s="7"/>
    </row>
    <row r="304" spans="5:9" ht="12.75">
      <c r="E304" s="7"/>
      <c r="F304" s="7"/>
      <c r="G304" s="7"/>
      <c r="H304" s="7"/>
      <c r="I304" s="7"/>
    </row>
    <row r="305" spans="5:9" ht="12.75">
      <c r="E305" s="7"/>
      <c r="F305" s="7"/>
      <c r="G305" s="7"/>
      <c r="H305" s="7"/>
      <c r="I305" s="7"/>
    </row>
    <row r="306" spans="5:9" ht="12.75">
      <c r="E306" s="7"/>
      <c r="F306" s="7"/>
      <c r="G306" s="7"/>
      <c r="H306" s="7"/>
      <c r="I306" s="7"/>
    </row>
    <row r="307" spans="5:9" ht="12.75">
      <c r="E307" s="7"/>
      <c r="F307" s="7"/>
      <c r="G307" s="7"/>
      <c r="H307" s="7"/>
      <c r="I307" s="7"/>
    </row>
    <row r="308" spans="5:9" ht="12.75">
      <c r="E308" s="7"/>
      <c r="F308" s="7"/>
      <c r="G308" s="7"/>
      <c r="H308" s="7"/>
      <c r="I308" s="7"/>
    </row>
    <row r="309" spans="5:9" ht="12.75">
      <c r="E309" s="7"/>
      <c r="F309" s="7"/>
      <c r="G309" s="7"/>
      <c r="H309" s="7"/>
      <c r="I309" s="7"/>
    </row>
    <row r="310" spans="5:9" ht="12.75">
      <c r="E310" s="7"/>
      <c r="F310" s="7"/>
      <c r="G310" s="7"/>
      <c r="H310" s="7"/>
      <c r="I310" s="7"/>
    </row>
    <row r="311" spans="5:9" ht="12.75">
      <c r="E311" s="7"/>
      <c r="F311" s="7"/>
      <c r="G311" s="7"/>
      <c r="H311" s="7"/>
      <c r="I311" s="7"/>
    </row>
    <row r="312" spans="5:9" ht="12.75">
      <c r="E312" s="7"/>
      <c r="F312" s="7"/>
      <c r="G312" s="7"/>
      <c r="H312" s="7"/>
      <c r="I312" s="7"/>
    </row>
    <row r="313" spans="5:9" ht="12.75">
      <c r="E313" s="7"/>
      <c r="F313" s="7"/>
      <c r="G313" s="7"/>
      <c r="H313" s="7"/>
      <c r="I313" s="7"/>
    </row>
    <row r="314" spans="5:9" ht="12.75">
      <c r="E314" s="7"/>
      <c r="F314" s="7"/>
      <c r="G314" s="7"/>
      <c r="H314" s="7"/>
      <c r="I314" s="7"/>
    </row>
    <row r="315" spans="5:9" ht="12.75">
      <c r="E315" s="7"/>
      <c r="F315" s="7"/>
      <c r="G315" s="7"/>
      <c r="H315" s="7"/>
      <c r="I315" s="7"/>
    </row>
    <row r="316" spans="5:9" ht="12.75">
      <c r="E316" s="7"/>
      <c r="F316" s="7"/>
      <c r="G316" s="7"/>
      <c r="H316" s="7"/>
      <c r="I316" s="7"/>
    </row>
    <row r="317" spans="5:9" ht="12.75">
      <c r="E317" s="7"/>
      <c r="F317" s="7"/>
      <c r="G317" s="7"/>
      <c r="H317" s="7"/>
      <c r="I317" s="7"/>
    </row>
    <row r="318" spans="5:9" ht="12.75">
      <c r="E318" s="7"/>
      <c r="F318" s="7"/>
      <c r="G318" s="7"/>
      <c r="H318" s="7"/>
      <c r="I318" s="7"/>
    </row>
    <row r="319" spans="5:9" ht="12.75">
      <c r="E319" s="7"/>
      <c r="F319" s="7"/>
      <c r="G319" s="7"/>
      <c r="H319" s="7"/>
      <c r="I319" s="7"/>
    </row>
    <row r="320" spans="5:9" ht="12.75">
      <c r="E320" s="7"/>
      <c r="F320" s="7"/>
      <c r="G320" s="7"/>
      <c r="H320" s="7"/>
      <c r="I320" s="7"/>
    </row>
    <row r="321" spans="5:9" ht="12.75">
      <c r="E321" s="7"/>
      <c r="F321" s="7"/>
      <c r="G321" s="7"/>
      <c r="H321" s="7"/>
      <c r="I321" s="7"/>
    </row>
    <row r="322" spans="5:9" ht="12.75">
      <c r="E322" s="7"/>
      <c r="F322" s="7"/>
      <c r="G322" s="7"/>
      <c r="H322" s="7"/>
      <c r="I322" s="7"/>
    </row>
    <row r="323" spans="5:9" ht="12.75">
      <c r="E323" s="7"/>
      <c r="F323" s="7"/>
      <c r="G323" s="7"/>
      <c r="H323" s="7"/>
      <c r="I323" s="7"/>
    </row>
    <row r="324" spans="5:9" ht="12.75">
      <c r="E324" s="7"/>
      <c r="F324" s="7"/>
      <c r="G324" s="7"/>
      <c r="H324" s="7"/>
      <c r="I324" s="7"/>
    </row>
    <row r="325" spans="5:9" ht="12.75">
      <c r="E325" s="7"/>
      <c r="F325" s="7"/>
      <c r="G325" s="7"/>
      <c r="H325" s="7"/>
      <c r="I325" s="7"/>
    </row>
    <row r="326" spans="5:9" ht="12.75">
      <c r="E326" s="7"/>
      <c r="F326" s="7"/>
      <c r="G326" s="7"/>
      <c r="H326" s="7"/>
      <c r="I326" s="7"/>
    </row>
    <row r="327" spans="5:9" ht="12.75">
      <c r="E327" s="7"/>
      <c r="F327" s="7"/>
      <c r="G327" s="7"/>
      <c r="H327" s="7"/>
      <c r="I327" s="7"/>
    </row>
    <row r="328" spans="5:9" ht="12.75">
      <c r="E328" s="7"/>
      <c r="F328" s="7"/>
      <c r="G328" s="7"/>
      <c r="H328" s="7"/>
      <c r="I328" s="7"/>
    </row>
    <row r="329" spans="5:9" ht="12.75">
      <c r="E329" s="7"/>
      <c r="F329" s="7"/>
      <c r="G329" s="7"/>
      <c r="H329" s="7"/>
      <c r="I329" s="7"/>
    </row>
    <row r="330" spans="5:9" ht="12.75">
      <c r="E330" s="7"/>
      <c r="F330" s="7"/>
      <c r="G330" s="7"/>
      <c r="H330" s="7"/>
      <c r="I330" s="7"/>
    </row>
    <row r="331" spans="5:9" ht="12.75">
      <c r="E331" s="7"/>
      <c r="F331" s="7"/>
      <c r="G331" s="7"/>
      <c r="H331" s="7"/>
      <c r="I331" s="7"/>
    </row>
    <row r="332" spans="5:9" ht="12.75">
      <c r="E332" s="7"/>
      <c r="F332" s="7"/>
      <c r="G332" s="7"/>
      <c r="H332" s="7"/>
      <c r="I332" s="7"/>
    </row>
    <row r="333" spans="5:9" ht="12.75">
      <c r="E333" s="7"/>
      <c r="F333" s="7"/>
      <c r="G333" s="7"/>
      <c r="H333" s="7"/>
      <c r="I333" s="7"/>
    </row>
    <row r="334" spans="5:9" ht="12.75">
      <c r="E334" s="7"/>
      <c r="F334" s="7"/>
      <c r="G334" s="7"/>
      <c r="H334" s="7"/>
      <c r="I334" s="7"/>
    </row>
    <row r="335" spans="5:9" ht="12.75">
      <c r="E335" s="7"/>
      <c r="F335" s="7"/>
      <c r="G335" s="7"/>
      <c r="H335" s="7"/>
      <c r="I335" s="7"/>
    </row>
    <row r="336" spans="5:9" ht="12.75">
      <c r="E336" s="7"/>
      <c r="F336" s="7"/>
      <c r="G336" s="7"/>
      <c r="H336" s="7"/>
      <c r="I336" s="7"/>
    </row>
    <row r="337" spans="5:9" ht="12.75">
      <c r="E337" s="7"/>
      <c r="F337" s="7"/>
      <c r="G337" s="7"/>
      <c r="H337" s="7"/>
      <c r="I337" s="7"/>
    </row>
    <row r="338" spans="5:9" ht="12.75">
      <c r="E338" s="7"/>
      <c r="F338" s="7"/>
      <c r="G338" s="7"/>
      <c r="H338" s="7"/>
      <c r="I338" s="7"/>
    </row>
    <row r="339" spans="5:9" ht="12.75">
      <c r="E339" s="7"/>
      <c r="F339" s="7"/>
      <c r="G339" s="7"/>
      <c r="H339" s="7"/>
      <c r="I339" s="7"/>
    </row>
    <row r="340" spans="5:9" ht="12.75">
      <c r="E340" s="7"/>
      <c r="F340" s="7"/>
      <c r="G340" s="7"/>
      <c r="H340" s="7"/>
      <c r="I340" s="7"/>
    </row>
    <row r="341" spans="5:9" ht="12.75">
      <c r="E341" s="7"/>
      <c r="F341" s="7"/>
      <c r="G341" s="7"/>
      <c r="H341" s="7"/>
      <c r="I341" s="7"/>
    </row>
    <row r="342" spans="5:9" ht="12.75">
      <c r="E342" s="7"/>
      <c r="F342" s="7"/>
      <c r="G342" s="7"/>
      <c r="H342" s="7"/>
      <c r="I342" s="7"/>
    </row>
    <row r="343" spans="5:9" ht="12.75">
      <c r="E343" s="7"/>
      <c r="F343" s="7"/>
      <c r="G343" s="7"/>
      <c r="H343" s="7"/>
      <c r="I343" s="7"/>
    </row>
    <row r="344" spans="5:9" ht="12.75">
      <c r="E344" s="7"/>
      <c r="F344" s="7"/>
      <c r="G344" s="7"/>
      <c r="H344" s="7"/>
      <c r="I344" s="7"/>
    </row>
    <row r="345" spans="5:9" ht="12.75">
      <c r="E345" s="7"/>
      <c r="F345" s="7"/>
      <c r="G345" s="7"/>
      <c r="H345" s="7"/>
      <c r="I345" s="7"/>
    </row>
    <row r="346" spans="5:9" ht="12.75">
      <c r="E346" s="7"/>
      <c r="F346" s="7"/>
      <c r="G346" s="7"/>
      <c r="H346" s="7"/>
      <c r="I346" s="7"/>
    </row>
    <row r="347" spans="5:9" ht="12.75">
      <c r="E347" s="7"/>
      <c r="F347" s="7"/>
      <c r="G347" s="7"/>
      <c r="H347" s="7"/>
      <c r="I347" s="7"/>
    </row>
    <row r="348" spans="5:9" ht="12.75">
      <c r="E348" s="7"/>
      <c r="F348" s="7"/>
      <c r="G348" s="7"/>
      <c r="H348" s="7"/>
      <c r="I348" s="7"/>
    </row>
    <row r="349" spans="5:9" ht="12.75">
      <c r="E349" s="7"/>
      <c r="F349" s="7"/>
      <c r="G349" s="7"/>
      <c r="H349" s="7"/>
      <c r="I349" s="7"/>
    </row>
    <row r="350" spans="5:9" ht="12.75">
      <c r="E350" s="7"/>
      <c r="F350" s="7"/>
      <c r="G350" s="7"/>
      <c r="H350" s="7"/>
      <c r="I350" s="7"/>
    </row>
    <row r="351" spans="5:9" ht="12.75">
      <c r="E351" s="7"/>
      <c r="F351" s="7"/>
      <c r="G351" s="7"/>
      <c r="H351" s="7"/>
      <c r="I351" s="7"/>
    </row>
    <row r="352" spans="5:9" ht="12.75">
      <c r="E352" s="7"/>
      <c r="F352" s="7"/>
      <c r="G352" s="7"/>
      <c r="H352" s="7"/>
      <c r="I352" s="7"/>
    </row>
    <row r="353" spans="5:9" ht="12.75">
      <c r="E353" s="7"/>
      <c r="F353" s="7"/>
      <c r="G353" s="7"/>
      <c r="H353" s="7"/>
      <c r="I353" s="7"/>
    </row>
    <row r="354" spans="5:9" ht="12.75">
      <c r="E354" s="7"/>
      <c r="F354" s="7"/>
      <c r="G354" s="7"/>
      <c r="H354" s="7"/>
      <c r="I354" s="7"/>
    </row>
    <row r="355" spans="5:9" ht="12.75">
      <c r="E355" s="7"/>
      <c r="F355" s="7"/>
      <c r="G355" s="7"/>
      <c r="H355" s="7"/>
      <c r="I355" s="7"/>
    </row>
    <row r="356" spans="5:9" ht="12.75">
      <c r="E356" s="7"/>
      <c r="F356" s="7"/>
      <c r="G356" s="7"/>
      <c r="H356" s="7"/>
      <c r="I356" s="7"/>
    </row>
    <row r="357" spans="5:9" ht="12.75">
      <c r="E357" s="7"/>
      <c r="F357" s="7"/>
      <c r="G357" s="7"/>
      <c r="H357" s="7"/>
      <c r="I357" s="7"/>
    </row>
    <row r="358" spans="5:9" ht="12.75">
      <c r="E358" s="7"/>
      <c r="F358" s="7"/>
      <c r="G358" s="7"/>
      <c r="H358" s="7"/>
      <c r="I358" s="7"/>
    </row>
    <row r="359" spans="5:9" ht="12.75">
      <c r="E359" s="7"/>
      <c r="F359" s="7"/>
      <c r="G359" s="7"/>
      <c r="H359" s="7"/>
      <c r="I359" s="7"/>
    </row>
    <row r="360" spans="5:9" ht="12.75">
      <c r="E360" s="7"/>
      <c r="F360" s="7"/>
      <c r="G360" s="7"/>
      <c r="H360" s="7"/>
      <c r="I360" s="7"/>
    </row>
    <row r="361" spans="5:9" ht="12.75">
      <c r="E361" s="7"/>
      <c r="F361" s="7"/>
      <c r="G361" s="7"/>
      <c r="H361" s="7"/>
      <c r="I361" s="7"/>
    </row>
    <row r="362" spans="5:9" ht="12.75">
      <c r="E362" s="7"/>
      <c r="F362" s="7"/>
      <c r="G362" s="7"/>
      <c r="H362" s="7"/>
      <c r="I362" s="7"/>
    </row>
    <row r="363" spans="5:9" ht="12.75">
      <c r="E363" s="7"/>
      <c r="F363" s="7"/>
      <c r="G363" s="7"/>
      <c r="H363" s="7"/>
      <c r="I363" s="7"/>
    </row>
    <row r="364" spans="5:9" ht="12.75">
      <c r="E364" s="7"/>
      <c r="F364" s="7"/>
      <c r="G364" s="7"/>
      <c r="H364" s="7"/>
      <c r="I364" s="7"/>
    </row>
    <row r="365" spans="5:9" ht="12.75">
      <c r="E365" s="7"/>
      <c r="F365" s="7"/>
      <c r="G365" s="7"/>
      <c r="H365" s="7"/>
      <c r="I365" s="7"/>
    </row>
    <row r="366" spans="5:9" ht="12.75">
      <c r="E366" s="7"/>
      <c r="F366" s="7"/>
      <c r="G366" s="7"/>
      <c r="H366" s="7"/>
      <c r="I366" s="7"/>
    </row>
    <row r="367" spans="5:9" ht="12.75">
      <c r="E367" s="7"/>
      <c r="F367" s="7"/>
      <c r="G367" s="7"/>
      <c r="H367" s="7"/>
      <c r="I367" s="7"/>
    </row>
    <row r="368" spans="5:9" ht="12.75">
      <c r="E368" s="7"/>
      <c r="F368" s="7"/>
      <c r="G368" s="7"/>
      <c r="H368" s="7"/>
      <c r="I368" s="7"/>
    </row>
    <row r="369" spans="5:9" ht="12.75">
      <c r="E369" s="7"/>
      <c r="F369" s="7"/>
      <c r="G369" s="7"/>
      <c r="H369" s="7"/>
      <c r="I369" s="7"/>
    </row>
    <row r="370" spans="5:9" ht="12.75">
      <c r="E370" s="7"/>
      <c r="F370" s="7"/>
      <c r="G370" s="7"/>
      <c r="H370" s="7"/>
      <c r="I370" s="7"/>
    </row>
    <row r="371" spans="5:9" ht="12.75">
      <c r="E371" s="7"/>
      <c r="F371" s="7"/>
      <c r="G371" s="7"/>
      <c r="H371" s="7"/>
      <c r="I371" s="7"/>
    </row>
    <row r="372" spans="5:9" ht="12.75">
      <c r="E372" s="7"/>
      <c r="F372" s="7"/>
      <c r="G372" s="7"/>
      <c r="H372" s="7"/>
      <c r="I372" s="7"/>
    </row>
    <row r="373" spans="5:9" ht="12.75">
      <c r="E373" s="7"/>
      <c r="F373" s="7"/>
      <c r="G373" s="7"/>
      <c r="H373" s="7"/>
      <c r="I373" s="7"/>
    </row>
    <row r="374" spans="5:9" ht="12.75">
      <c r="E374" s="7"/>
      <c r="F374" s="7"/>
      <c r="G374" s="7"/>
      <c r="H374" s="7"/>
      <c r="I374" s="7"/>
    </row>
    <row r="375" spans="5:9" ht="12.75">
      <c r="E375" s="7"/>
      <c r="F375" s="7"/>
      <c r="G375" s="7"/>
      <c r="H375" s="7"/>
      <c r="I375" s="7"/>
    </row>
    <row r="376" spans="5:9" ht="12.75">
      <c r="E376" s="7"/>
      <c r="F376" s="7"/>
      <c r="G376" s="7"/>
      <c r="H376" s="7"/>
      <c r="I376" s="7"/>
    </row>
    <row r="377" spans="5:9" ht="12.75">
      <c r="E377" s="7"/>
      <c r="F377" s="7"/>
      <c r="G377" s="7"/>
      <c r="H377" s="7"/>
      <c r="I377" s="7"/>
    </row>
    <row r="378" spans="5:9" ht="12.75">
      <c r="E378" s="7"/>
      <c r="F378" s="7"/>
      <c r="G378" s="7"/>
      <c r="H378" s="7"/>
      <c r="I378" s="7"/>
    </row>
    <row r="379" spans="5:9" ht="12.75">
      <c r="E379" s="7"/>
      <c r="F379" s="7"/>
      <c r="G379" s="7"/>
      <c r="H379" s="7"/>
      <c r="I379" s="7"/>
    </row>
    <row r="380" spans="5:9" ht="12.75">
      <c r="E380" s="7"/>
      <c r="F380" s="7"/>
      <c r="G380" s="7"/>
      <c r="H380" s="7"/>
      <c r="I380" s="7"/>
    </row>
    <row r="381" spans="5:9" ht="12.75">
      <c r="E381" s="7"/>
      <c r="F381" s="7"/>
      <c r="G381" s="7"/>
      <c r="H381" s="7"/>
      <c r="I381" s="7"/>
    </row>
    <row r="382" spans="5:9" ht="12.75">
      <c r="E382" s="7"/>
      <c r="F382" s="7"/>
      <c r="G382" s="7"/>
      <c r="H382" s="7"/>
      <c r="I382" s="7"/>
    </row>
    <row r="383" spans="5:9" ht="12.75">
      <c r="E383" s="7"/>
      <c r="F383" s="7"/>
      <c r="G383" s="7"/>
      <c r="H383" s="7"/>
      <c r="I383" s="7"/>
    </row>
    <row r="384" spans="5:9" ht="12.75">
      <c r="E384" s="7"/>
      <c r="F384" s="7"/>
      <c r="G384" s="7"/>
      <c r="H384" s="7"/>
      <c r="I384" s="7"/>
    </row>
    <row r="385" spans="5:9" ht="12.75">
      <c r="E385" s="7"/>
      <c r="F385" s="7"/>
      <c r="G385" s="7"/>
      <c r="H385" s="7"/>
      <c r="I385" s="7"/>
    </row>
    <row r="386" spans="5:9" ht="12.75">
      <c r="E386" s="7"/>
      <c r="F386" s="7"/>
      <c r="G386" s="7"/>
      <c r="H386" s="7"/>
      <c r="I386" s="7"/>
    </row>
    <row r="387" spans="5:9" ht="12.75">
      <c r="E387" s="7"/>
      <c r="F387" s="7"/>
      <c r="G387" s="7"/>
      <c r="H387" s="7"/>
      <c r="I387" s="7"/>
    </row>
    <row r="388" spans="5:9" ht="12.75">
      <c r="E388" s="7"/>
      <c r="F388" s="7"/>
      <c r="G388" s="7"/>
      <c r="H388" s="7"/>
      <c r="I388" s="7"/>
    </row>
    <row r="389" spans="5:9" ht="12.75">
      <c r="E389" s="7"/>
      <c r="F389" s="7"/>
      <c r="G389" s="7"/>
      <c r="H389" s="7"/>
      <c r="I389" s="7"/>
    </row>
    <row r="390" spans="5:9" ht="12.75">
      <c r="E390" s="7"/>
      <c r="F390" s="7"/>
      <c r="G390" s="7"/>
      <c r="H390" s="7"/>
      <c r="I390" s="7"/>
    </row>
    <row r="391" spans="5:9" ht="12.75">
      <c r="E391" s="7"/>
      <c r="F391" s="7"/>
      <c r="G391" s="7"/>
      <c r="H391" s="7"/>
      <c r="I391" s="7"/>
    </row>
    <row r="392" spans="5:9" ht="12.75">
      <c r="E392" s="7"/>
      <c r="F392" s="7"/>
      <c r="G392" s="7"/>
      <c r="H392" s="7"/>
      <c r="I392" s="7"/>
    </row>
    <row r="393" spans="5:9" ht="12.75">
      <c r="E393" s="7"/>
      <c r="F393" s="7"/>
      <c r="G393" s="7"/>
      <c r="H393" s="7"/>
      <c r="I393" s="7"/>
    </row>
    <row r="394" spans="5:9" ht="12.75">
      <c r="E394" s="7"/>
      <c r="F394" s="7"/>
      <c r="G394" s="7"/>
      <c r="H394" s="7"/>
      <c r="I394" s="7"/>
    </row>
    <row r="395" spans="5:9" ht="12.75">
      <c r="E395" s="7"/>
      <c r="F395" s="7"/>
      <c r="G395" s="7"/>
      <c r="H395" s="7"/>
      <c r="I395" s="7"/>
    </row>
    <row r="396" spans="5:9" ht="12.75">
      <c r="E396" s="7"/>
      <c r="F396" s="7"/>
      <c r="G396" s="7"/>
      <c r="H396" s="7"/>
      <c r="I396" s="7"/>
    </row>
    <row r="397" spans="5:9" ht="12.75">
      <c r="E397" s="7"/>
      <c r="F397" s="7"/>
      <c r="G397" s="7"/>
      <c r="H397" s="7"/>
      <c r="I397" s="7"/>
    </row>
    <row r="398" spans="5:9" ht="12.75">
      <c r="E398" s="7"/>
      <c r="F398" s="7"/>
      <c r="G398" s="7"/>
      <c r="H398" s="7"/>
      <c r="I398" s="7"/>
    </row>
    <row r="399" spans="5:9" ht="12.75">
      <c r="E399" s="7"/>
      <c r="F399" s="7"/>
      <c r="G399" s="7"/>
      <c r="H399" s="7"/>
      <c r="I399" s="7"/>
    </row>
    <row r="400" spans="5:9" ht="12.75">
      <c r="E400" s="7"/>
      <c r="F400" s="7"/>
      <c r="G400" s="7"/>
      <c r="H400" s="7"/>
      <c r="I400" s="7"/>
    </row>
    <row r="401" spans="5:9" ht="12.75">
      <c r="E401" s="7"/>
      <c r="F401" s="7"/>
      <c r="G401" s="7"/>
      <c r="H401" s="7"/>
      <c r="I401" s="7"/>
    </row>
    <row r="402" spans="5:9" ht="12.75">
      <c r="E402" s="7"/>
      <c r="F402" s="7"/>
      <c r="G402" s="7"/>
      <c r="H402" s="7"/>
      <c r="I402" s="7"/>
    </row>
    <row r="403" spans="5:9" ht="12.75">
      <c r="E403" s="7"/>
      <c r="F403" s="7"/>
      <c r="G403" s="7"/>
      <c r="H403" s="7"/>
      <c r="I403" s="7"/>
    </row>
    <row r="404" spans="5:9" ht="12.75">
      <c r="E404" s="7"/>
      <c r="F404" s="7"/>
      <c r="G404" s="7"/>
      <c r="H404" s="7"/>
      <c r="I404" s="7"/>
    </row>
    <row r="405" spans="5:9" ht="12.75">
      <c r="E405" s="7"/>
      <c r="F405" s="7"/>
      <c r="G405" s="7"/>
      <c r="H405" s="7"/>
      <c r="I405" s="7"/>
    </row>
    <row r="406" spans="5:9" ht="12.75">
      <c r="E406" s="7"/>
      <c r="F406" s="7"/>
      <c r="G406" s="7"/>
      <c r="H406" s="7"/>
      <c r="I406" s="7"/>
    </row>
    <row r="407" spans="5:9" ht="12.75">
      <c r="E407" s="7"/>
      <c r="F407" s="7"/>
      <c r="G407" s="7"/>
      <c r="H407" s="7"/>
      <c r="I407" s="7"/>
    </row>
    <row r="408" spans="5:9" ht="12.75">
      <c r="E408" s="7"/>
      <c r="F408" s="7"/>
      <c r="G408" s="7"/>
      <c r="H408" s="7"/>
      <c r="I408" s="7"/>
    </row>
    <row r="409" spans="5:9" ht="12.75">
      <c r="E409" s="7"/>
      <c r="F409" s="7"/>
      <c r="G409" s="7"/>
      <c r="H409" s="7"/>
      <c r="I409" s="7"/>
    </row>
    <row r="410" spans="5:9" ht="12.75">
      <c r="E410" s="7"/>
      <c r="F410" s="7"/>
      <c r="G410" s="7"/>
      <c r="H410" s="7"/>
      <c r="I410" s="7"/>
    </row>
    <row r="411" spans="5:9" ht="12.75">
      <c r="E411" s="7"/>
      <c r="F411" s="7"/>
      <c r="G411" s="7"/>
      <c r="H411" s="7"/>
      <c r="I411" s="7"/>
    </row>
    <row r="412" spans="5:9" ht="12.75">
      <c r="E412" s="7"/>
      <c r="F412" s="7"/>
      <c r="G412" s="7"/>
      <c r="H412" s="7"/>
      <c r="I412" s="7"/>
    </row>
    <row r="413" spans="5:9" ht="12.75">
      <c r="E413" s="7"/>
      <c r="F413" s="7"/>
      <c r="G413" s="7"/>
      <c r="H413" s="7"/>
      <c r="I413" s="7"/>
    </row>
    <row r="414" spans="5:9" ht="12.75">
      <c r="E414" s="7"/>
      <c r="F414" s="7"/>
      <c r="G414" s="7"/>
      <c r="H414" s="7"/>
      <c r="I414" s="7"/>
    </row>
    <row r="415" spans="5:9" ht="12.75">
      <c r="E415" s="7"/>
      <c r="F415" s="7"/>
      <c r="G415" s="7"/>
      <c r="H415" s="7"/>
      <c r="I415" s="7"/>
    </row>
    <row r="416" spans="5:9" ht="12.75">
      <c r="E416" s="7"/>
      <c r="F416" s="7"/>
      <c r="G416" s="7"/>
      <c r="H416" s="7"/>
      <c r="I416" s="7"/>
    </row>
    <row r="417" spans="5:9" ht="12.75">
      <c r="E417" s="7"/>
      <c r="F417" s="7"/>
      <c r="G417" s="7"/>
      <c r="H417" s="7"/>
      <c r="I417" s="7"/>
    </row>
    <row r="418" spans="5:9" ht="12.75">
      <c r="E418" s="7"/>
      <c r="F418" s="7"/>
      <c r="G418" s="7"/>
      <c r="H418" s="7"/>
      <c r="I418" s="7"/>
    </row>
    <row r="419" spans="5:9" ht="12.75">
      <c r="E419" s="7"/>
      <c r="F419" s="7"/>
      <c r="G419" s="7"/>
      <c r="H419" s="7"/>
      <c r="I419" s="7"/>
    </row>
    <row r="420" spans="5:9" ht="12.75">
      <c r="E420" s="7"/>
      <c r="F420" s="7"/>
      <c r="G420" s="7"/>
      <c r="H420" s="7"/>
      <c r="I420" s="7"/>
    </row>
    <row r="421" spans="5:9" ht="12.75">
      <c r="E421" s="7"/>
      <c r="F421" s="7"/>
      <c r="G421" s="7"/>
      <c r="H421" s="7"/>
      <c r="I421" s="7"/>
    </row>
    <row r="422" spans="5:9" ht="12.75">
      <c r="E422" s="7"/>
      <c r="F422" s="7"/>
      <c r="G422" s="7"/>
      <c r="H422" s="7"/>
      <c r="I422" s="7"/>
    </row>
    <row r="423" spans="5:9" ht="12.75">
      <c r="E423" s="7"/>
      <c r="F423" s="7"/>
      <c r="G423" s="7"/>
      <c r="H423" s="7"/>
      <c r="I423" s="7"/>
    </row>
    <row r="424" spans="5:9" ht="12.75">
      <c r="E424" s="7"/>
      <c r="F424" s="7"/>
      <c r="G424" s="7"/>
      <c r="H424" s="7"/>
      <c r="I424" s="7"/>
    </row>
    <row r="425" spans="5:9" ht="12.75">
      <c r="E425" s="7"/>
      <c r="F425" s="7"/>
      <c r="G425" s="7"/>
      <c r="H425" s="7"/>
      <c r="I425" s="7"/>
    </row>
    <row r="426" spans="5:9" ht="12.75">
      <c r="E426" s="7"/>
      <c r="F426" s="7"/>
      <c r="G426" s="7"/>
      <c r="H426" s="7"/>
      <c r="I426" s="7"/>
    </row>
    <row r="427" spans="5:9" ht="12.75">
      <c r="E427" s="7"/>
      <c r="F427" s="7"/>
      <c r="G427" s="7"/>
      <c r="H427" s="7"/>
      <c r="I427" s="7"/>
    </row>
    <row r="428" spans="5:9" ht="12.75">
      <c r="E428" s="7"/>
      <c r="F428" s="7"/>
      <c r="G428" s="7"/>
      <c r="H428" s="7"/>
      <c r="I428" s="7"/>
    </row>
    <row r="429" spans="5:9" ht="12.75">
      <c r="E429" s="7"/>
      <c r="F429" s="7"/>
      <c r="G429" s="7"/>
      <c r="H429" s="7"/>
      <c r="I429" s="7"/>
    </row>
    <row r="430" spans="5:9" ht="12.75">
      <c r="E430" s="7"/>
      <c r="F430" s="7"/>
      <c r="G430" s="7"/>
      <c r="H430" s="7"/>
      <c r="I430" s="7"/>
    </row>
    <row r="431" spans="5:9" ht="12.75">
      <c r="E431" s="7"/>
      <c r="F431" s="7"/>
      <c r="G431" s="7"/>
      <c r="H431" s="7"/>
      <c r="I431" s="7"/>
    </row>
    <row r="432" spans="5:9" ht="12.75">
      <c r="E432" s="7"/>
      <c r="F432" s="7"/>
      <c r="G432" s="7"/>
      <c r="H432" s="7"/>
      <c r="I432" s="7"/>
    </row>
    <row r="433" spans="5:9" ht="12.75">
      <c r="E433" s="7"/>
      <c r="F433" s="7"/>
      <c r="G433" s="7"/>
      <c r="H433" s="7"/>
      <c r="I433" s="7"/>
    </row>
    <row r="434" spans="5:9" ht="12.75">
      <c r="E434" s="7"/>
      <c r="F434" s="7"/>
      <c r="G434" s="7"/>
      <c r="H434" s="7"/>
      <c r="I434" s="7"/>
    </row>
    <row r="435" spans="5:9" ht="12.75">
      <c r="E435" s="7"/>
      <c r="F435" s="7"/>
      <c r="G435" s="7"/>
      <c r="H435" s="7"/>
      <c r="I435" s="7"/>
    </row>
    <row r="436" spans="5:9" ht="12.75">
      <c r="E436" s="7"/>
      <c r="F436" s="7"/>
      <c r="G436" s="7"/>
      <c r="H436" s="7"/>
      <c r="I436" s="7"/>
    </row>
    <row r="437" spans="5:9" ht="12.75">
      <c r="E437" s="7"/>
      <c r="F437" s="7"/>
      <c r="G437" s="7"/>
      <c r="H437" s="7"/>
      <c r="I437" s="7"/>
    </row>
    <row r="438" spans="5:9" ht="12.75">
      <c r="E438" s="7"/>
      <c r="F438" s="7"/>
      <c r="G438" s="7"/>
      <c r="H438" s="7"/>
      <c r="I438" s="7"/>
    </row>
    <row r="439" spans="5:9" ht="12.75">
      <c r="E439" s="7"/>
      <c r="F439" s="7"/>
      <c r="G439" s="7"/>
      <c r="H439" s="7"/>
      <c r="I439" s="7"/>
    </row>
    <row r="440" spans="5:9" ht="12.75">
      <c r="E440" s="7"/>
      <c r="F440" s="7"/>
      <c r="G440" s="7"/>
      <c r="H440" s="7"/>
      <c r="I440" s="7"/>
    </row>
    <row r="441" spans="5:9" ht="12.75">
      <c r="E441" s="7"/>
      <c r="F441" s="7"/>
      <c r="G441" s="7"/>
      <c r="H441" s="7"/>
      <c r="I441" s="7"/>
    </row>
    <row r="442" spans="5:9" ht="12.75">
      <c r="E442" s="7"/>
      <c r="F442" s="7"/>
      <c r="G442" s="7"/>
      <c r="H442" s="7"/>
      <c r="I442" s="7"/>
    </row>
    <row r="443" spans="5:9" ht="12.75">
      <c r="E443" s="7"/>
      <c r="F443" s="7"/>
      <c r="G443" s="7"/>
      <c r="H443" s="7"/>
      <c r="I443" s="7"/>
    </row>
    <row r="444" spans="5:9" ht="12.75">
      <c r="E444" s="7"/>
      <c r="F444" s="7"/>
      <c r="G444" s="7"/>
      <c r="H444" s="7"/>
      <c r="I444" s="7"/>
    </row>
    <row r="445" spans="5:9" ht="12.75">
      <c r="E445" s="7"/>
      <c r="F445" s="7"/>
      <c r="G445" s="7"/>
      <c r="H445" s="7"/>
      <c r="I445" s="7"/>
    </row>
    <row r="446" spans="5:9" ht="12.75">
      <c r="E446" s="7"/>
      <c r="F446" s="7"/>
      <c r="G446" s="7"/>
      <c r="H446" s="7"/>
      <c r="I446" s="7"/>
    </row>
    <row r="447" spans="5:9" ht="12.75">
      <c r="E447" s="7"/>
      <c r="F447" s="7"/>
      <c r="G447" s="7"/>
      <c r="H447" s="7"/>
      <c r="I447" s="7"/>
    </row>
    <row r="448" spans="5:9" ht="12.75">
      <c r="E448" s="7"/>
      <c r="F448" s="7"/>
      <c r="G448" s="7"/>
      <c r="H448" s="7"/>
      <c r="I448" s="7"/>
    </row>
    <row r="449" spans="5:9" ht="12.75">
      <c r="E449" s="7"/>
      <c r="F449" s="7"/>
      <c r="G449" s="7"/>
      <c r="H449" s="7"/>
      <c r="I449" s="7"/>
    </row>
    <row r="450" spans="5:9" ht="12.75">
      <c r="E450" s="7"/>
      <c r="F450" s="7"/>
      <c r="G450" s="7"/>
      <c r="H450" s="7"/>
      <c r="I450" s="7"/>
    </row>
    <row r="451" spans="5:9" ht="12.75">
      <c r="E451" s="7"/>
      <c r="F451" s="7"/>
      <c r="G451" s="7"/>
      <c r="H451" s="7"/>
      <c r="I451" s="7"/>
    </row>
    <row r="452" spans="5:9" ht="12.75">
      <c r="E452" s="7"/>
      <c r="F452" s="7"/>
      <c r="G452" s="7"/>
      <c r="H452" s="7"/>
      <c r="I452" s="7"/>
    </row>
    <row r="453" spans="5:9" ht="12.75">
      <c r="E453" s="7"/>
      <c r="F453" s="7"/>
      <c r="G453" s="7"/>
      <c r="H453" s="7"/>
      <c r="I453" s="7"/>
    </row>
    <row r="454" spans="5:9" ht="12.75">
      <c r="E454" s="7"/>
      <c r="F454" s="7"/>
      <c r="G454" s="7"/>
      <c r="H454" s="7"/>
      <c r="I454" s="7"/>
    </row>
    <row r="455" spans="5:9" ht="12.75">
      <c r="E455" s="7"/>
      <c r="F455" s="7"/>
      <c r="G455" s="7"/>
      <c r="H455" s="7"/>
      <c r="I455" s="7"/>
    </row>
    <row r="456" spans="5:9" ht="12.75">
      <c r="E456" s="7"/>
      <c r="F456" s="7"/>
      <c r="G456" s="7"/>
      <c r="H456" s="7"/>
      <c r="I456" s="7"/>
    </row>
    <row r="457" spans="5:9" ht="12.75">
      <c r="E457" s="7"/>
      <c r="F457" s="7"/>
      <c r="G457" s="7"/>
      <c r="H457" s="7"/>
      <c r="I457" s="7"/>
    </row>
    <row r="458" spans="5:9" ht="12.75">
      <c r="E458" s="7"/>
      <c r="F458" s="7"/>
      <c r="G458" s="7"/>
      <c r="H458" s="7"/>
      <c r="I458" s="7"/>
    </row>
    <row r="459" spans="5:9" ht="12.75">
      <c r="E459" s="7"/>
      <c r="F459" s="7"/>
      <c r="G459" s="7"/>
      <c r="H459" s="7"/>
      <c r="I459" s="7"/>
    </row>
    <row r="460" spans="5:9" ht="12.75">
      <c r="E460" s="7"/>
      <c r="F460" s="7"/>
      <c r="G460" s="7"/>
      <c r="H460" s="7"/>
      <c r="I460" s="7"/>
    </row>
    <row r="461" spans="5:9" ht="12.75">
      <c r="E461" s="7"/>
      <c r="F461" s="7"/>
      <c r="G461" s="7"/>
      <c r="H461" s="7"/>
      <c r="I461" s="7"/>
    </row>
    <row r="462" spans="5:9" ht="12.75">
      <c r="E462" s="7"/>
      <c r="F462" s="7"/>
      <c r="G462" s="7"/>
      <c r="H462" s="7"/>
      <c r="I462" s="7"/>
    </row>
    <row r="463" spans="5:9" ht="12.75">
      <c r="E463" s="7"/>
      <c r="F463" s="7"/>
      <c r="G463" s="7"/>
      <c r="H463" s="7"/>
      <c r="I463" s="7"/>
    </row>
    <row r="464" spans="5:9" ht="12.75">
      <c r="E464" s="7"/>
      <c r="F464" s="7"/>
      <c r="G464" s="7"/>
      <c r="H464" s="7"/>
      <c r="I464" s="7"/>
    </row>
    <row r="465" spans="5:9" ht="12.75">
      <c r="E465" s="7"/>
      <c r="F465" s="7"/>
      <c r="G465" s="7"/>
      <c r="H465" s="7"/>
      <c r="I465" s="7"/>
    </row>
    <row r="466" spans="5:9" ht="12.75">
      <c r="E466" s="7"/>
      <c r="F466" s="7"/>
      <c r="G466" s="7"/>
      <c r="H466" s="7"/>
      <c r="I466" s="7"/>
    </row>
    <row r="467" spans="5:9" ht="12.75">
      <c r="E467" s="7"/>
      <c r="F467" s="7"/>
      <c r="G467" s="7"/>
      <c r="H467" s="7"/>
      <c r="I467" s="7"/>
    </row>
    <row r="468" spans="5:9" ht="12.75">
      <c r="E468" s="7"/>
      <c r="F468" s="7"/>
      <c r="G468" s="7"/>
      <c r="H468" s="7"/>
      <c r="I468" s="7"/>
    </row>
    <row r="469" spans="5:9" ht="12.75">
      <c r="E469" s="7"/>
      <c r="F469" s="7"/>
      <c r="G469" s="7"/>
      <c r="H469" s="7"/>
      <c r="I469" s="7"/>
    </row>
    <row r="470" spans="5:9" ht="12.75">
      <c r="E470" s="7"/>
      <c r="F470" s="7"/>
      <c r="G470" s="7"/>
      <c r="H470" s="7"/>
      <c r="I470" s="7"/>
    </row>
    <row r="471" spans="5:9" ht="12.75">
      <c r="E471" s="7"/>
      <c r="F471" s="7"/>
      <c r="G471" s="7"/>
      <c r="H471" s="7"/>
      <c r="I471" s="7"/>
    </row>
    <row r="472" spans="5:9" ht="12.75">
      <c r="E472" s="7"/>
      <c r="F472" s="7"/>
      <c r="G472" s="7"/>
      <c r="H472" s="7"/>
      <c r="I472" s="7"/>
    </row>
    <row r="473" spans="5:9" ht="12.75">
      <c r="E473" s="7"/>
      <c r="F473" s="7"/>
      <c r="G473" s="7"/>
      <c r="H473" s="7"/>
      <c r="I473" s="7"/>
    </row>
    <row r="474" spans="5:9" ht="12.75">
      <c r="E474" s="7"/>
      <c r="F474" s="7"/>
      <c r="G474" s="7"/>
      <c r="H474" s="7"/>
      <c r="I474" s="7"/>
    </row>
    <row r="475" spans="5:9" ht="12.75">
      <c r="E475" s="7"/>
      <c r="F475" s="7"/>
      <c r="G475" s="7"/>
      <c r="H475" s="7"/>
      <c r="I475" s="7"/>
    </row>
    <row r="476" spans="5:9" ht="12.75">
      <c r="E476" s="7"/>
      <c r="F476" s="7"/>
      <c r="G476" s="7"/>
      <c r="H476" s="7"/>
      <c r="I476" s="7"/>
    </row>
    <row r="477" spans="5:9" ht="12.75">
      <c r="E477" s="7"/>
      <c r="F477" s="7"/>
      <c r="G477" s="7"/>
      <c r="H477" s="7"/>
      <c r="I477" s="7"/>
    </row>
    <row r="478" spans="5:9" ht="12.75">
      <c r="E478" s="7"/>
      <c r="F478" s="7"/>
      <c r="G478" s="7"/>
      <c r="H478" s="7"/>
      <c r="I478" s="7"/>
    </row>
    <row r="479" spans="5:9" ht="12.75">
      <c r="E479" s="7"/>
      <c r="F479" s="7"/>
      <c r="G479" s="7"/>
      <c r="H479" s="7"/>
      <c r="I479" s="7"/>
    </row>
    <row r="480" spans="5:9" ht="12.75">
      <c r="E480" s="7"/>
      <c r="F480" s="7"/>
      <c r="G480" s="7"/>
      <c r="H480" s="7"/>
      <c r="I480" s="7"/>
    </row>
    <row r="481" spans="5:9" ht="12.75">
      <c r="E481" s="7"/>
      <c r="F481" s="7"/>
      <c r="G481" s="7"/>
      <c r="H481" s="7"/>
      <c r="I481" s="7"/>
    </row>
    <row r="482" spans="5:9" ht="12.75">
      <c r="E482" s="7"/>
      <c r="F482" s="7"/>
      <c r="G482" s="7"/>
      <c r="H482" s="7"/>
      <c r="I482" s="7"/>
    </row>
    <row r="483" spans="5:9" ht="12.75">
      <c r="E483" s="7"/>
      <c r="F483" s="7"/>
      <c r="G483" s="7"/>
      <c r="H483" s="7"/>
      <c r="I483" s="7"/>
    </row>
    <row r="484" spans="5:9" ht="12.75">
      <c r="E484" s="7"/>
      <c r="F484" s="7"/>
      <c r="G484" s="7"/>
      <c r="H484" s="7"/>
      <c r="I484" s="7"/>
    </row>
    <row r="485" spans="5:9" ht="12.75">
      <c r="E485" s="7"/>
      <c r="F485" s="7"/>
      <c r="G485" s="7"/>
      <c r="H485" s="7"/>
      <c r="I485" s="7"/>
    </row>
    <row r="486" spans="5:9" ht="12.75">
      <c r="E486" s="7"/>
      <c r="F486" s="7"/>
      <c r="G486" s="7"/>
      <c r="H486" s="7"/>
      <c r="I486" s="7"/>
    </row>
    <row r="487" spans="5:9" ht="12.75">
      <c r="E487" s="7"/>
      <c r="F487" s="7"/>
      <c r="G487" s="7"/>
      <c r="H487" s="7"/>
      <c r="I487" s="7"/>
    </row>
    <row r="488" spans="5:9" ht="12.75">
      <c r="E488" s="7"/>
      <c r="F488" s="7"/>
      <c r="G488" s="7"/>
      <c r="H488" s="7"/>
      <c r="I488" s="7"/>
    </row>
    <row r="489" spans="5:9" ht="12.75">
      <c r="E489" s="7"/>
      <c r="F489" s="7"/>
      <c r="G489" s="7"/>
      <c r="H489" s="7"/>
      <c r="I489" s="7"/>
    </row>
    <row r="490" spans="5:9" ht="12.75">
      <c r="E490" s="7"/>
      <c r="F490" s="7"/>
      <c r="G490" s="7"/>
      <c r="H490" s="7"/>
      <c r="I490" s="7"/>
    </row>
    <row r="491" spans="5:9" ht="12.75">
      <c r="E491" s="7"/>
      <c r="F491" s="7"/>
      <c r="G491" s="7"/>
      <c r="H491" s="7"/>
      <c r="I491" s="7"/>
    </row>
    <row r="492" spans="5:9" ht="12.75">
      <c r="E492" s="7"/>
      <c r="F492" s="7"/>
      <c r="G492" s="7"/>
      <c r="H492" s="7"/>
      <c r="I492" s="7"/>
    </row>
    <row r="493" spans="5:9" ht="12.75">
      <c r="E493" s="7"/>
      <c r="F493" s="7"/>
      <c r="G493" s="7"/>
      <c r="H493" s="7"/>
      <c r="I493" s="7"/>
    </row>
    <row r="494" spans="5:9" ht="12.75">
      <c r="E494" s="7"/>
      <c r="F494" s="7"/>
      <c r="G494" s="7"/>
      <c r="H494" s="7"/>
      <c r="I494" s="7"/>
    </row>
    <row r="495" spans="5:9" ht="12.75">
      <c r="E495" s="7"/>
      <c r="F495" s="7"/>
      <c r="G495" s="7"/>
      <c r="H495" s="7"/>
      <c r="I495" s="7"/>
    </row>
    <row r="496" spans="5:9" ht="12.75">
      <c r="E496" s="7"/>
      <c r="F496" s="7"/>
      <c r="G496" s="7"/>
      <c r="H496" s="7"/>
      <c r="I496" s="7"/>
    </row>
    <row r="497" spans="5:9" ht="12.75">
      <c r="E497" s="7"/>
      <c r="F497" s="7"/>
      <c r="G497" s="7"/>
      <c r="H497" s="7"/>
      <c r="I497" s="7"/>
    </row>
    <row r="498" spans="5:9" ht="12.75">
      <c r="E498" s="7"/>
      <c r="F498" s="7"/>
      <c r="G498" s="7"/>
      <c r="H498" s="7"/>
      <c r="I498" s="7"/>
    </row>
    <row r="499" spans="5:9" ht="12.75">
      <c r="E499" s="7"/>
      <c r="F499" s="7"/>
      <c r="G499" s="7"/>
      <c r="H499" s="7"/>
      <c r="I499" s="7"/>
    </row>
    <row r="500" spans="5:9" ht="12.75">
      <c r="E500" s="7"/>
      <c r="F500" s="7"/>
      <c r="G500" s="7"/>
      <c r="H500" s="7"/>
      <c r="I500" s="7"/>
    </row>
    <row r="501" spans="5:9" ht="12.75">
      <c r="E501" s="7"/>
      <c r="F501" s="7"/>
      <c r="G501" s="7"/>
      <c r="H501" s="7"/>
      <c r="I501" s="7"/>
    </row>
    <row r="502" spans="5:9" ht="12.75">
      <c r="E502" s="7"/>
      <c r="F502" s="7"/>
      <c r="G502" s="7"/>
      <c r="H502" s="7"/>
      <c r="I502" s="7"/>
    </row>
    <row r="503" spans="5:9" ht="12.75">
      <c r="E503" s="7"/>
      <c r="F503" s="7"/>
      <c r="G503" s="7"/>
      <c r="H503" s="7"/>
      <c r="I503" s="7"/>
    </row>
    <row r="504" spans="5:9" ht="12.75">
      <c r="E504" s="7"/>
      <c r="F504" s="7"/>
      <c r="G504" s="7"/>
      <c r="H504" s="7"/>
      <c r="I504" s="7"/>
    </row>
    <row r="505" spans="5:9" ht="12.75">
      <c r="E505" s="7"/>
      <c r="F505" s="7"/>
      <c r="G505" s="7"/>
      <c r="H505" s="7"/>
      <c r="I505" s="7"/>
    </row>
    <row r="506" spans="5:9" ht="12.75">
      <c r="E506" s="7"/>
      <c r="F506" s="7"/>
      <c r="G506" s="7"/>
      <c r="H506" s="7"/>
      <c r="I506" s="7"/>
    </row>
    <row r="507" spans="5:9" ht="12.75">
      <c r="E507" s="7"/>
      <c r="F507" s="7"/>
      <c r="G507" s="7"/>
      <c r="H507" s="7"/>
      <c r="I507" s="7"/>
    </row>
    <row r="508" spans="5:9" ht="12.75">
      <c r="E508" s="7"/>
      <c r="F508" s="7"/>
      <c r="G508" s="7"/>
      <c r="H508" s="7"/>
      <c r="I508" s="7"/>
    </row>
    <row r="509" spans="5:9" ht="12.75">
      <c r="E509" s="7"/>
      <c r="F509" s="7"/>
      <c r="G509" s="7"/>
      <c r="H509" s="7"/>
      <c r="I509" s="7"/>
    </row>
    <row r="510" spans="5:9" ht="12.75">
      <c r="E510" s="7"/>
      <c r="F510" s="7"/>
      <c r="G510" s="7"/>
      <c r="H510" s="7"/>
      <c r="I510" s="7"/>
    </row>
    <row r="511" spans="5:9" ht="12.75">
      <c r="E511" s="7"/>
      <c r="F511" s="7"/>
      <c r="G511" s="7"/>
      <c r="H511" s="7"/>
      <c r="I511" s="7"/>
    </row>
    <row r="512" spans="5:9" ht="12.75">
      <c r="E512" s="7"/>
      <c r="F512" s="7"/>
      <c r="G512" s="7"/>
      <c r="H512" s="7"/>
      <c r="I512" s="7"/>
    </row>
    <row r="513" spans="5:9" ht="12.75">
      <c r="E513" s="7"/>
      <c r="F513" s="7"/>
      <c r="G513" s="7"/>
      <c r="H513" s="7"/>
      <c r="I513" s="7"/>
    </row>
    <row r="514" spans="5:9" ht="12.75">
      <c r="E514" s="7"/>
      <c r="F514" s="7"/>
      <c r="G514" s="7"/>
      <c r="H514" s="7"/>
      <c r="I514" s="7"/>
    </row>
    <row r="515" spans="5:9" ht="12.75">
      <c r="E515" s="7"/>
      <c r="F515" s="7"/>
      <c r="G515" s="7"/>
      <c r="H515" s="7"/>
      <c r="I515" s="7"/>
    </row>
    <row r="516" spans="5:9" ht="12.75">
      <c r="E516" s="7"/>
      <c r="F516" s="7"/>
      <c r="G516" s="7"/>
      <c r="H516" s="7"/>
      <c r="I516" s="7"/>
    </row>
    <row r="517" spans="5:9" ht="12.75">
      <c r="E517" s="7"/>
      <c r="F517" s="7"/>
      <c r="G517" s="7"/>
      <c r="H517" s="7"/>
      <c r="I517" s="7"/>
    </row>
    <row r="518" spans="5:9" ht="12.75">
      <c r="E518" s="7"/>
      <c r="F518" s="7"/>
      <c r="G518" s="7"/>
      <c r="H518" s="7"/>
      <c r="I518" s="7"/>
    </row>
    <row r="519" spans="5:9" ht="12.75">
      <c r="E519" s="7"/>
      <c r="F519" s="7"/>
      <c r="G519" s="7"/>
      <c r="H519" s="7"/>
      <c r="I519" s="7"/>
    </row>
    <row r="520" spans="5:9" ht="12.75">
      <c r="E520" s="7"/>
      <c r="F520" s="7"/>
      <c r="G520" s="7"/>
      <c r="H520" s="7"/>
      <c r="I520" s="7"/>
    </row>
    <row r="521" spans="5:9" ht="12.75">
      <c r="E521" s="7"/>
      <c r="F521" s="7"/>
      <c r="G521" s="7"/>
      <c r="H521" s="7"/>
      <c r="I521" s="7"/>
    </row>
    <row r="522" spans="5:9" ht="12.75">
      <c r="E522" s="7"/>
      <c r="F522" s="7"/>
      <c r="G522" s="7"/>
      <c r="H522" s="7"/>
      <c r="I522" s="7"/>
    </row>
    <row r="523" spans="5:9" ht="12.75">
      <c r="E523" s="7"/>
      <c r="F523" s="7"/>
      <c r="G523" s="7"/>
      <c r="H523" s="7"/>
      <c r="I523" s="7"/>
    </row>
    <row r="524" spans="5:9" ht="12.75">
      <c r="E524" s="7"/>
      <c r="F524" s="7"/>
      <c r="G524" s="7"/>
      <c r="H524" s="7"/>
      <c r="I524" s="7"/>
    </row>
    <row r="525" spans="5:9" ht="12.75">
      <c r="E525" s="7"/>
      <c r="F525" s="7"/>
      <c r="G525" s="7"/>
      <c r="H525" s="7"/>
      <c r="I525" s="7"/>
    </row>
    <row r="526" spans="5:9" ht="12.75">
      <c r="E526" s="7"/>
      <c r="F526" s="7"/>
      <c r="G526" s="7"/>
      <c r="H526" s="7"/>
      <c r="I526" s="7"/>
    </row>
    <row r="527" spans="5:9" ht="12.75">
      <c r="E527" s="7"/>
      <c r="F527" s="7"/>
      <c r="G527" s="7"/>
      <c r="H527" s="7"/>
      <c r="I527" s="7"/>
    </row>
    <row r="528" spans="5:9" ht="12.75">
      <c r="E528" s="7"/>
      <c r="F528" s="7"/>
      <c r="G528" s="7"/>
      <c r="H528" s="7"/>
      <c r="I528" s="7"/>
    </row>
    <row r="529" spans="5:9" ht="12.75">
      <c r="E529" s="7"/>
      <c r="F529" s="7"/>
      <c r="G529" s="7"/>
      <c r="H529" s="7"/>
      <c r="I529" s="7"/>
    </row>
    <row r="530" spans="5:9" ht="12.75">
      <c r="E530" s="7"/>
      <c r="F530" s="7"/>
      <c r="G530" s="7"/>
      <c r="H530" s="7"/>
      <c r="I530" s="7"/>
    </row>
    <row r="531" spans="5:9" ht="12.75">
      <c r="E531" s="7"/>
      <c r="F531" s="7"/>
      <c r="G531" s="7"/>
      <c r="H531" s="7"/>
      <c r="I531" s="7"/>
    </row>
    <row r="532" spans="5:9" ht="12.75">
      <c r="E532" s="7"/>
      <c r="F532" s="7"/>
      <c r="G532" s="7"/>
      <c r="H532" s="7"/>
      <c r="I532" s="7"/>
    </row>
    <row r="533" spans="5:9" ht="12.75">
      <c r="E533" s="7"/>
      <c r="F533" s="7"/>
      <c r="G533" s="7"/>
      <c r="H533" s="7"/>
      <c r="I533" s="7"/>
    </row>
    <row r="534" spans="5:9" ht="12.75">
      <c r="E534" s="7"/>
      <c r="F534" s="7"/>
      <c r="G534" s="7"/>
      <c r="H534" s="7"/>
      <c r="I534" s="7"/>
    </row>
    <row r="535" spans="5:9" ht="12.75">
      <c r="E535" s="7"/>
      <c r="F535" s="7"/>
      <c r="G535" s="7"/>
      <c r="H535" s="7"/>
      <c r="I535" s="7"/>
    </row>
    <row r="536" spans="5:9" ht="12.75">
      <c r="E536" s="7"/>
      <c r="F536" s="7"/>
      <c r="G536" s="7"/>
      <c r="H536" s="7"/>
      <c r="I536" s="7"/>
    </row>
    <row r="537" spans="5:9" ht="12.75">
      <c r="E537" s="7"/>
      <c r="F537" s="7"/>
      <c r="G537" s="7"/>
      <c r="H537" s="7"/>
      <c r="I537" s="7"/>
    </row>
    <row r="538" spans="5:9" ht="12.75">
      <c r="E538" s="7"/>
      <c r="F538" s="7"/>
      <c r="G538" s="7"/>
      <c r="H538" s="7"/>
      <c r="I538" s="7"/>
    </row>
    <row r="539" spans="5:9" ht="12.75">
      <c r="E539" s="7"/>
      <c r="F539" s="7"/>
      <c r="G539" s="7"/>
      <c r="H539" s="7"/>
      <c r="I539" s="7"/>
    </row>
    <row r="540" spans="5:9" ht="12.75">
      <c r="E540" s="7"/>
      <c r="F540" s="7"/>
      <c r="G540" s="7"/>
      <c r="H540" s="7"/>
      <c r="I540" s="7"/>
    </row>
    <row r="541" spans="5:9" ht="12.75">
      <c r="E541" s="7"/>
      <c r="F541" s="7"/>
      <c r="G541" s="7"/>
      <c r="H541" s="7"/>
      <c r="I541" s="7"/>
    </row>
    <row r="542" spans="5:9" ht="12.75">
      <c r="E542" s="7"/>
      <c r="F542" s="7"/>
      <c r="G542" s="7"/>
      <c r="H542" s="7"/>
      <c r="I542" s="7"/>
    </row>
    <row r="543" spans="5:9" ht="12.75">
      <c r="E543" s="7"/>
      <c r="F543" s="7"/>
      <c r="G543" s="7"/>
      <c r="H543" s="7"/>
      <c r="I543" s="7"/>
    </row>
    <row r="544" spans="5:9" ht="12.75">
      <c r="E544" s="7"/>
      <c r="F544" s="7"/>
      <c r="G544" s="7"/>
      <c r="H544" s="7"/>
      <c r="I544" s="7"/>
    </row>
    <row r="545" spans="5:9" ht="12.75">
      <c r="E545" s="7"/>
      <c r="F545" s="7"/>
      <c r="G545" s="7"/>
      <c r="H545" s="7"/>
      <c r="I545" s="7"/>
    </row>
    <row r="546" spans="5:9" ht="12.75">
      <c r="E546" s="7"/>
      <c r="F546" s="7"/>
      <c r="G546" s="7"/>
      <c r="H546" s="7"/>
      <c r="I546" s="7"/>
    </row>
    <row r="547" spans="5:9" ht="12.75">
      <c r="E547" s="7"/>
      <c r="F547" s="7"/>
      <c r="G547" s="7"/>
      <c r="H547" s="7"/>
      <c r="I547" s="7"/>
    </row>
    <row r="548" spans="5:9" ht="12.75">
      <c r="E548" s="7"/>
      <c r="F548" s="7"/>
      <c r="G548" s="7"/>
      <c r="H548" s="7"/>
      <c r="I548" s="7"/>
    </row>
    <row r="549" spans="5:9" ht="12.75">
      <c r="E549" s="7"/>
      <c r="F549" s="7"/>
      <c r="G549" s="7"/>
      <c r="H549" s="7"/>
      <c r="I549" s="7"/>
    </row>
    <row r="550" spans="5:9" ht="12.75">
      <c r="E550" s="7"/>
      <c r="F550" s="7"/>
      <c r="G550" s="7"/>
      <c r="H550" s="7"/>
      <c r="I550" s="7"/>
    </row>
    <row r="551" spans="5:9" ht="12.75">
      <c r="E551" s="7"/>
      <c r="F551" s="7"/>
      <c r="G551" s="7"/>
      <c r="H551" s="7"/>
      <c r="I551" s="7"/>
    </row>
    <row r="552" spans="5:9" ht="12.75">
      <c r="E552" s="7"/>
      <c r="F552" s="7"/>
      <c r="G552" s="7"/>
      <c r="H552" s="7"/>
      <c r="I552" s="7"/>
    </row>
    <row r="553" spans="5:9" ht="12.75">
      <c r="E553" s="7"/>
      <c r="F553" s="7"/>
      <c r="G553" s="7"/>
      <c r="H553" s="7"/>
      <c r="I553" s="7"/>
    </row>
    <row r="554" spans="5:9" ht="12.75">
      <c r="E554" s="7"/>
      <c r="F554" s="7"/>
      <c r="G554" s="7"/>
      <c r="H554" s="7"/>
      <c r="I554" s="7"/>
    </row>
    <row r="555" spans="5:9" ht="12.75">
      <c r="E555" s="7"/>
      <c r="F555" s="7"/>
      <c r="G555" s="7"/>
      <c r="H555" s="7"/>
      <c r="I555" s="7"/>
    </row>
    <row r="556" spans="5:9" ht="12.75">
      <c r="E556" s="7"/>
      <c r="F556" s="7"/>
      <c r="G556" s="7"/>
      <c r="H556" s="7"/>
      <c r="I556" s="7"/>
    </row>
    <row r="557" spans="5:9" ht="12.75">
      <c r="E557" s="7"/>
      <c r="F557" s="7"/>
      <c r="G557" s="7"/>
      <c r="H557" s="7"/>
      <c r="I557" s="7"/>
    </row>
    <row r="558" spans="5:9" ht="12.75">
      <c r="E558" s="7"/>
      <c r="F558" s="7"/>
      <c r="G558" s="7"/>
      <c r="H558" s="7"/>
      <c r="I558" s="7"/>
    </row>
    <row r="559" spans="5:9" ht="12.75">
      <c r="E559" s="7"/>
      <c r="F559" s="7"/>
      <c r="G559" s="7"/>
      <c r="H559" s="7"/>
      <c r="I559" s="7"/>
    </row>
    <row r="560" spans="5:9" ht="12.75">
      <c r="E560" s="7"/>
      <c r="F560" s="7"/>
      <c r="G560" s="7"/>
      <c r="H560" s="7"/>
      <c r="I560" s="7"/>
    </row>
    <row r="561" spans="5:9" ht="12.75">
      <c r="E561" s="7"/>
      <c r="F561" s="7"/>
      <c r="G561" s="7"/>
      <c r="H561" s="7"/>
      <c r="I561" s="7"/>
    </row>
    <row r="562" spans="5:9" ht="12.75">
      <c r="E562" s="7"/>
      <c r="F562" s="7"/>
      <c r="G562" s="7"/>
      <c r="H562" s="7"/>
      <c r="I562" s="7"/>
    </row>
    <row r="563" spans="5:9" ht="12.75">
      <c r="E563" s="7"/>
      <c r="F563" s="7"/>
      <c r="G563" s="7"/>
      <c r="H563" s="7"/>
      <c r="I563" s="7"/>
    </row>
    <row r="564" spans="5:9" ht="12.75">
      <c r="E564" s="7"/>
      <c r="F564" s="7"/>
      <c r="G564" s="7"/>
      <c r="H564" s="7"/>
      <c r="I564" s="7"/>
    </row>
    <row r="565" spans="5:9" ht="12.75">
      <c r="E565" s="7"/>
      <c r="F565" s="7"/>
      <c r="G565" s="7"/>
      <c r="H565" s="7"/>
      <c r="I565" s="7"/>
    </row>
    <row r="566" spans="5:9" ht="12.75">
      <c r="E566" s="7"/>
      <c r="F566" s="7"/>
      <c r="G566" s="7"/>
      <c r="H566" s="7"/>
      <c r="I566" s="7"/>
    </row>
    <row r="567" spans="5:9" ht="12.75">
      <c r="E567" s="7"/>
      <c r="F567" s="7"/>
      <c r="G567" s="7"/>
      <c r="H567" s="7"/>
      <c r="I567" s="7"/>
    </row>
    <row r="568" spans="5:9" ht="12.75">
      <c r="E568" s="7"/>
      <c r="F568" s="7"/>
      <c r="G568" s="7"/>
      <c r="H568" s="7"/>
      <c r="I568" s="7"/>
    </row>
    <row r="569" spans="5:9" ht="12.75">
      <c r="E569" s="7"/>
      <c r="F569" s="7"/>
      <c r="G569" s="7"/>
      <c r="H569" s="7"/>
      <c r="I569" s="7"/>
    </row>
    <row r="570" spans="5:9" ht="12.75">
      <c r="E570" s="7"/>
      <c r="F570" s="7"/>
      <c r="G570" s="7"/>
      <c r="H570" s="7"/>
      <c r="I570" s="7"/>
    </row>
    <row r="571" spans="5:9" ht="12.75">
      <c r="E571" s="7"/>
      <c r="F571" s="7"/>
      <c r="G571" s="7"/>
      <c r="H571" s="7"/>
      <c r="I571" s="7"/>
    </row>
    <row r="572" spans="5:9" ht="12.75">
      <c r="E572" s="7"/>
      <c r="F572" s="7"/>
      <c r="G572" s="7"/>
      <c r="H572" s="7"/>
      <c r="I572" s="7"/>
    </row>
    <row r="573" spans="5:9" ht="12.75">
      <c r="E573" s="7"/>
      <c r="F573" s="7"/>
      <c r="G573" s="7"/>
      <c r="H573" s="7"/>
      <c r="I573" s="7"/>
    </row>
    <row r="574" spans="5:9" ht="12.75">
      <c r="E574" s="7"/>
      <c r="F574" s="7"/>
      <c r="G574" s="7"/>
      <c r="H574" s="7"/>
      <c r="I574" s="7"/>
    </row>
    <row r="575" spans="5:9" ht="12.75">
      <c r="E575" s="7"/>
      <c r="F575" s="7"/>
      <c r="G575" s="7"/>
      <c r="H575" s="7"/>
      <c r="I575" s="7"/>
    </row>
    <row r="576" spans="5:9" ht="12.75">
      <c r="E576" s="7"/>
      <c r="F576" s="7"/>
      <c r="G576" s="7"/>
      <c r="H576" s="7"/>
      <c r="I576" s="7"/>
    </row>
    <row r="577" spans="5:9" ht="12.75">
      <c r="E577" s="7"/>
      <c r="F577" s="7"/>
      <c r="G577" s="7"/>
      <c r="H577" s="7"/>
      <c r="I577" s="7"/>
    </row>
    <row r="578" spans="5:9" ht="12.75">
      <c r="E578" s="7"/>
      <c r="F578" s="7"/>
      <c r="G578" s="7"/>
      <c r="H578" s="7"/>
      <c r="I578" s="7"/>
    </row>
    <row r="579" spans="5:9" ht="12.75">
      <c r="E579" s="7"/>
      <c r="F579" s="7"/>
      <c r="G579" s="7"/>
      <c r="H579" s="7"/>
      <c r="I579" s="7"/>
    </row>
    <row r="580" spans="5:9" ht="12.75">
      <c r="E580" s="7"/>
      <c r="F580" s="7"/>
      <c r="G580" s="7"/>
      <c r="H580" s="7"/>
      <c r="I580" s="7"/>
    </row>
    <row r="581" spans="5:9" ht="12.75">
      <c r="E581" s="7"/>
      <c r="F581" s="7"/>
      <c r="G581" s="7"/>
      <c r="H581" s="7"/>
      <c r="I581" s="7"/>
    </row>
    <row r="582" spans="5:9" ht="12.75">
      <c r="E582" s="7"/>
      <c r="F582" s="7"/>
      <c r="G582" s="7"/>
      <c r="H582" s="7"/>
      <c r="I582" s="7"/>
    </row>
    <row r="583" spans="5:9" ht="12.75">
      <c r="E583" s="7"/>
      <c r="F583" s="7"/>
      <c r="G583" s="7"/>
      <c r="H583" s="7"/>
      <c r="I583" s="7"/>
    </row>
    <row r="584" spans="5:9" ht="12.75">
      <c r="E584" s="7"/>
      <c r="F584" s="7"/>
      <c r="G584" s="7"/>
      <c r="H584" s="7"/>
      <c r="I584" s="7"/>
    </row>
    <row r="585" spans="5:9" ht="12.75">
      <c r="E585" s="7"/>
      <c r="F585" s="7"/>
      <c r="G585" s="7"/>
      <c r="H585" s="7"/>
      <c r="I585" s="7"/>
    </row>
    <row r="586" spans="5:9" ht="12.75">
      <c r="E586" s="7"/>
      <c r="F586" s="7"/>
      <c r="G586" s="7"/>
      <c r="H586" s="7"/>
      <c r="I586" s="7"/>
    </row>
    <row r="587" spans="5:9" ht="12.75">
      <c r="E587" s="7"/>
      <c r="F587" s="7"/>
      <c r="G587" s="7"/>
      <c r="H587" s="7"/>
      <c r="I587" s="7"/>
    </row>
    <row r="588" spans="5:9" ht="12.75">
      <c r="E588" s="7"/>
      <c r="F588" s="7"/>
      <c r="G588" s="7"/>
      <c r="H588" s="7"/>
      <c r="I588" s="7"/>
    </row>
    <row r="589" spans="5:9" ht="12.75">
      <c r="E589" s="7"/>
      <c r="F589" s="7"/>
      <c r="G589" s="7"/>
      <c r="H589" s="7"/>
      <c r="I589" s="7"/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&amp;C&amp;"Arial,Bold"&amp;12Capital Expenses&amp;10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Bottoms-Up Financial Planning</dc:title>
  <dc:subject/>
  <dc:creator>Wayne Yamamoto</dc:creator>
  <cp:keywords/>
  <dc:description/>
  <cp:lastModifiedBy>Marc</cp:lastModifiedBy>
  <cp:lastPrinted>1999-05-20T17:30:07Z</cp:lastPrinted>
  <dcterms:created xsi:type="dcterms:W3CDTF">1999-03-15T21:46:41Z</dcterms:created>
  <dcterms:modified xsi:type="dcterms:W3CDTF">2010-12-15T18:10:13Z</dcterms:modified>
  <cp:category/>
  <cp:version/>
  <cp:contentType/>
  <cp:contentStatus/>
</cp:coreProperties>
</file>